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drawings/drawing4.xml" ContentType="application/vnd.openxmlformats-officedocument.drawing+xml"/>
  <Override PartName="/xl/comments7.xml" ContentType="application/vnd.openxmlformats-officedocument.spreadsheetml.comments+xml"/>
  <Override PartName="/xl/drawings/drawing5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6.xml" ContentType="application/vnd.openxmlformats-officedocument.drawing+xml"/>
  <Override PartName="/xl/comments10.xml" ContentType="application/vnd.openxmlformats-officedocument.spreadsheetml.comments+xml"/>
  <Override PartName="/xl/drawings/drawing7.xml" ContentType="application/vnd.openxmlformats-officedocument.drawing+xml"/>
  <Override PartName="/xl/comments11.xml" ContentType="application/vnd.openxmlformats-officedocument.spreadsheetml.comments+xml"/>
  <Override PartName="/xl/drawings/drawing8.xml" ContentType="application/vnd.openxmlformats-officedocument.drawing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BUDGET\POSCTL\PBM Fringe Calculator\FY23\"/>
    </mc:Choice>
  </mc:AlternateContent>
  <xr:revisionPtr revIDLastSave="0" documentId="13_ncr:1_{69F9D8CA-F35B-4F88-9887-F61DF7000028}" xr6:coauthVersionLast="36" xr6:coauthVersionMax="36" xr10:uidLastSave="{00000000-0000-0000-0000-000000000000}"/>
  <bookViews>
    <workbookView xWindow="0" yWindow="0" windowWidth="28800" windowHeight="12105" firstSheet="14" activeTab="15" xr2:uid="{5EB4ED0C-A1A4-41EE-9F70-AC71A15CB892}"/>
  </bookViews>
  <sheets>
    <sheet name="FY 16-17 GF Fringes" sheetId="21" state="hidden" r:id="rId1"/>
    <sheet name=" FY 16-17 GF Calculator " sheetId="19" state="hidden" r:id="rId2"/>
    <sheet name="FY 16-17 Non GF Calculator " sheetId="20" state="hidden" r:id="rId3"/>
    <sheet name="FY 15-16 GF Fringes" sheetId="15" state="hidden" r:id="rId4"/>
    <sheet name=" FY 15-16 GF Calculator" sheetId="16" state="hidden" r:id="rId5"/>
    <sheet name="FY 15-16 Non GF fringes" sheetId="18" state="hidden" r:id="rId6"/>
    <sheet name="FY 15-16 Non GF Calculator" sheetId="17" state="hidden" r:id="rId7"/>
    <sheet name="FY 17-18 GF Fringes" sheetId="22" state="hidden" r:id="rId8"/>
    <sheet name="FY 21-22 Fringes" sheetId="25" state="hidden" r:id="rId9"/>
    <sheet name=" FY 20-21 GF Calculator " sheetId="23" state="hidden" r:id="rId10"/>
    <sheet name="FY 20-21 Non GF Calculator  " sheetId="24" state="hidden" r:id="rId11"/>
    <sheet name="HB 226" sheetId="26" state="hidden" r:id="rId12"/>
    <sheet name=" FY 21-22 GF Calculator " sheetId="28" state="hidden" r:id="rId13"/>
    <sheet name="FY 21-22 Non GF Calculator" sheetId="29" state="hidden" r:id="rId14"/>
    <sheet name="FY 22-23 Fringes" sheetId="30" r:id="rId15"/>
    <sheet name=" FY 22-23 GF Calculator" sheetId="31" r:id="rId16"/>
    <sheet name="FY 22-23 Non GF Calculator" sheetId="32" r:id="rId17"/>
    <sheet name="Pay periods" sheetId="3" r:id="rId18"/>
    <sheet name="Fringe history" sheetId="27" r:id="rId19"/>
    <sheet name="FY 14-15 (Non General Funds)" sheetId="14" state="hidden" r:id="rId20"/>
    <sheet name=" FY 14-15 (General Funds)" sheetId="13" state="hidden" r:id="rId21"/>
    <sheet name=" FY 13-14 (General Funds)" sheetId="9" state="hidden" r:id="rId22"/>
    <sheet name="FY 13-14 (Non General Funds" sheetId="12" state="hidden" r:id="rId23"/>
    <sheet name=" FY 12-13 (General Funds) " sheetId="11" state="hidden" r:id="rId24"/>
    <sheet name="FY 12-13 (Non General Funds)" sheetId="10" state="hidden" r:id="rId25"/>
    <sheet name="Salary calc 11-12" sheetId="8" state="hidden" r:id="rId26"/>
    <sheet name="Salary calc 10-11" sheetId="7" state="hidden" r:id="rId27"/>
    <sheet name="Salary calc 09-10" sheetId="5" state="hidden" r:id="rId28"/>
    <sheet name="Salary calc 08-09" sheetId="4" state="hidden" r:id="rId29"/>
  </sheets>
  <externalReferences>
    <externalReference r:id="rId30"/>
  </externalReferences>
  <definedNames>
    <definedName name="_xlnm.Print_Area" localSheetId="20">' FY 14-15 (General Funds)'!$A$15:$C$26</definedName>
    <definedName name="_xlnm.Print_Area" localSheetId="4">' FY 15-16 GF Calculator'!$A$15:$C$26</definedName>
    <definedName name="_xlnm.Print_Area" localSheetId="1">' FY 16-17 GF Calculator '!$A$1:$H$38</definedName>
    <definedName name="_xlnm.Print_Area" localSheetId="9">' FY 20-21 GF Calculator '!$A$1:$H$38</definedName>
    <definedName name="_xlnm.Print_Area" localSheetId="12">' FY 21-22 GF Calculator '!$A$1:$H$38</definedName>
    <definedName name="_xlnm.Print_Area" localSheetId="15">' FY 22-23 GF Calculator'!$A$1:$H$38</definedName>
    <definedName name="_xlnm.Print_Area" localSheetId="18">'Fringe history'!$A$1:$V$28</definedName>
    <definedName name="_xlnm.Print_Area" localSheetId="3">'FY 15-16 GF Fringes'!$A$1:$K$32</definedName>
    <definedName name="_xlnm.Print_Area" localSheetId="0">'FY 16-17 GF Fringes'!$A$1:$K$32</definedName>
    <definedName name="_xlnm.Print_Area" localSheetId="7">'FY 17-18 GF Fringes'!$A$1:$L$35</definedName>
    <definedName name="_xlnm.Print_Area" localSheetId="8">'FY 21-22 Fringes'!$A$1:$N$28</definedName>
    <definedName name="_xlnm.Print_Area" localSheetId="14">'FY 22-23 Fringes'!$A$1:$N$28</definedName>
  </definedNames>
  <calcPr calcId="191029"/>
</workbook>
</file>

<file path=xl/calcChain.xml><?xml version="1.0" encoding="utf-8"?>
<calcChain xmlns="http://schemas.openxmlformats.org/spreadsheetml/2006/main">
  <c r="AB35" i="27" l="1"/>
  <c r="AA35" i="27"/>
  <c r="Z35" i="27"/>
  <c r="Y35" i="27"/>
  <c r="AB36" i="27"/>
  <c r="AA36" i="27"/>
  <c r="Z36" i="27"/>
  <c r="AB30" i="27"/>
  <c r="AA30" i="27"/>
  <c r="AA32" i="27" s="1"/>
  <c r="Z30" i="27"/>
  <c r="Z32" i="27" s="1"/>
  <c r="Y30" i="27"/>
  <c r="AB29" i="27"/>
  <c r="AA29" i="27"/>
  <c r="Z29" i="27"/>
  <c r="Z38" i="27"/>
  <c r="AA38" i="27"/>
  <c r="AB38" i="27"/>
  <c r="X32" i="27"/>
  <c r="X30" i="27"/>
  <c r="X29" i="27"/>
  <c r="V25" i="27"/>
  <c r="W25" i="27"/>
  <c r="X25" i="27"/>
  <c r="Y25" i="27"/>
  <c r="Z25" i="27"/>
  <c r="AA25" i="27"/>
  <c r="AB25" i="27"/>
  <c r="U25" i="27"/>
  <c r="AA23" i="27"/>
  <c r="AB23" i="27"/>
  <c r="AA12" i="27"/>
  <c r="AB12" i="27"/>
  <c r="AA10" i="27"/>
  <c r="AB10" i="27"/>
  <c r="AB8" i="27"/>
  <c r="AA8" i="27"/>
  <c r="Z8" i="27"/>
  <c r="AC8" i="27"/>
  <c r="W23" i="27"/>
  <c r="X23" i="27"/>
  <c r="Y23" i="27"/>
  <c r="AB32" i="27" l="1"/>
  <c r="B28" i="32"/>
  <c r="B27" i="32"/>
  <c r="B26" i="31"/>
  <c r="B25" i="31"/>
  <c r="B24" i="31"/>
  <c r="A30" i="32"/>
  <c r="C23" i="32"/>
  <c r="C22" i="32"/>
  <c r="C21" i="32"/>
  <c r="F8" i="32" s="1"/>
  <c r="C20" i="32"/>
  <c r="A17" i="32"/>
  <c r="C14" i="32"/>
  <c r="B14" i="32"/>
  <c r="A12" i="32"/>
  <c r="E8" i="32" s="1"/>
  <c r="G10" i="32"/>
  <c r="F10" i="32"/>
  <c r="G9" i="32"/>
  <c r="F9" i="32"/>
  <c r="C8" i="32"/>
  <c r="C10" i="32" s="1"/>
  <c r="G7" i="32"/>
  <c r="F7" i="32"/>
  <c r="C7" i="32"/>
  <c r="B7" i="32"/>
  <c r="B8" i="32" s="1"/>
  <c r="A7" i="32"/>
  <c r="H31" i="31"/>
  <c r="G31" i="31"/>
  <c r="F30" i="31"/>
  <c r="F29" i="31"/>
  <c r="H26" i="31"/>
  <c r="H28" i="31" s="1"/>
  <c r="G26" i="31"/>
  <c r="G28" i="31" s="1"/>
  <c r="G29" i="31" s="1"/>
  <c r="H25" i="31"/>
  <c r="G25" i="31"/>
  <c r="H20" i="31"/>
  <c r="G20" i="31"/>
  <c r="G21" i="31" s="1"/>
  <c r="H19" i="31"/>
  <c r="G19" i="31"/>
  <c r="H18" i="31"/>
  <c r="G18" i="31"/>
  <c r="F18" i="31"/>
  <c r="C12" i="31"/>
  <c r="B12" i="31"/>
  <c r="H8" i="31"/>
  <c r="G8" i="31"/>
  <c r="H7" i="31"/>
  <c r="G7" i="31"/>
  <c r="F7" i="31"/>
  <c r="C7" i="31"/>
  <c r="C9" i="31" s="1"/>
  <c r="H6" i="31"/>
  <c r="H10" i="31" s="1"/>
  <c r="G6" i="31"/>
  <c r="F6" i="31"/>
  <c r="C6" i="31"/>
  <c r="B6" i="31"/>
  <c r="B7" i="31" s="1"/>
  <c r="B9" i="31" s="1"/>
  <c r="H21" i="31" l="1"/>
  <c r="B10" i="32"/>
  <c r="G10" i="31"/>
  <c r="F12" i="32"/>
  <c r="G8" i="32"/>
  <c r="G12" i="32" s="1"/>
  <c r="B13" i="32"/>
  <c r="B12" i="32"/>
  <c r="B11" i="32"/>
  <c r="C10" i="31"/>
  <c r="C11" i="31"/>
  <c r="C13" i="31" s="1"/>
  <c r="B10" i="31"/>
  <c r="B11" i="31"/>
  <c r="H30" i="31"/>
  <c r="H29" i="31"/>
  <c r="H32" i="31" s="1"/>
  <c r="C11" i="32"/>
  <c r="C12" i="32"/>
  <c r="C13" i="32"/>
  <c r="G30" i="31"/>
  <c r="G32" i="31" s="1"/>
  <c r="A17" i="29"/>
  <c r="C15" i="32" l="1"/>
  <c r="B15" i="32"/>
  <c r="B13" i="31"/>
  <c r="C9" i="28"/>
  <c r="B9" i="28"/>
  <c r="G7" i="28" l="1"/>
  <c r="F7" i="28"/>
  <c r="B26" i="28"/>
  <c r="B28" i="29"/>
  <c r="B25" i="28"/>
  <c r="F8" i="29" l="1"/>
  <c r="A30" i="29"/>
  <c r="C23" i="29"/>
  <c r="C22" i="29"/>
  <c r="C21" i="29"/>
  <c r="B27" i="29" s="1"/>
  <c r="A12" i="29"/>
  <c r="E8" i="29" s="1"/>
  <c r="H7" i="28"/>
  <c r="A7" i="29"/>
  <c r="B24" i="28"/>
  <c r="C20" i="29"/>
  <c r="C14" i="29"/>
  <c r="B14" i="29"/>
  <c r="G10" i="29"/>
  <c r="F10" i="29"/>
  <c r="G9" i="29"/>
  <c r="F9" i="29"/>
  <c r="G7" i="29"/>
  <c r="F7" i="29"/>
  <c r="C7" i="29"/>
  <c r="C8" i="29" s="1"/>
  <c r="B7" i="29"/>
  <c r="B8" i="29" s="1"/>
  <c r="H31" i="28"/>
  <c r="F30" i="28"/>
  <c r="F29" i="28"/>
  <c r="C6" i="28"/>
  <c r="C7" i="28" s="1"/>
  <c r="H18" i="28"/>
  <c r="G18" i="28"/>
  <c r="F18" i="28"/>
  <c r="H6" i="28"/>
  <c r="G6" i="28"/>
  <c r="F6" i="28"/>
  <c r="B6" i="28"/>
  <c r="B7" i="28" s="1"/>
  <c r="C10" i="29" l="1"/>
  <c r="G8" i="29"/>
  <c r="G12" i="29" s="1"/>
  <c r="B10" i="29"/>
  <c r="F12" i="29"/>
  <c r="B11" i="28"/>
  <c r="B10" i="28"/>
  <c r="H19" i="28"/>
  <c r="G19" i="28"/>
  <c r="C10" i="28"/>
  <c r="C11" i="28"/>
  <c r="B12" i="28"/>
  <c r="H20" i="28"/>
  <c r="G20" i="28"/>
  <c r="C12" i="28"/>
  <c r="G8" i="28"/>
  <c r="H8" i="28"/>
  <c r="H10" i="28" s="1"/>
  <c r="G25" i="28"/>
  <c r="G26" i="28" s="1"/>
  <c r="G28" i="28" s="1"/>
  <c r="H25" i="28"/>
  <c r="H26" i="28" s="1"/>
  <c r="H28" i="28" s="1"/>
  <c r="G31" i="28"/>
  <c r="A30" i="24"/>
  <c r="C11" i="29" l="1"/>
  <c r="C15" i="29" s="1"/>
  <c r="C13" i="29"/>
  <c r="G10" i="28"/>
  <c r="B12" i="29"/>
  <c r="B13" i="29"/>
  <c r="B11" i="29"/>
  <c r="C12" i="29"/>
  <c r="B13" i="28"/>
  <c r="H21" i="28"/>
  <c r="C13" i="28"/>
  <c r="G21" i="28"/>
  <c r="H30" i="28"/>
  <c r="H29" i="28"/>
  <c r="H32" i="28" s="1"/>
  <c r="G30" i="28"/>
  <c r="G29" i="28"/>
  <c r="G32" i="28" l="1"/>
  <c r="B15" i="29"/>
  <c r="G9" i="24"/>
  <c r="F9" i="24"/>
  <c r="A17" i="24" l="1"/>
  <c r="Z23" i="27"/>
  <c r="Z12" i="27"/>
  <c r="Z10" i="27"/>
  <c r="A7" i="24"/>
  <c r="G18" i="23" l="1"/>
  <c r="C24" i="24" l="1"/>
  <c r="C22" i="23"/>
  <c r="Y29" i="27" l="1"/>
  <c r="Y36" i="27"/>
  <c r="Y10" i="27"/>
  <c r="Y8" i="27"/>
  <c r="C20" i="23"/>
  <c r="C19" i="23"/>
  <c r="G7" i="23" l="1"/>
  <c r="B24" i="23"/>
  <c r="H7" i="23"/>
  <c r="B25" i="23"/>
  <c r="Y38" i="27"/>
  <c r="Y32" i="27"/>
  <c r="C22" i="24"/>
  <c r="B28" i="24" s="1"/>
  <c r="C21" i="24"/>
  <c r="B27" i="24" s="1"/>
  <c r="C21" i="23"/>
  <c r="X36" i="27"/>
  <c r="W36" i="27"/>
  <c r="V36" i="27"/>
  <c r="U36" i="27"/>
  <c r="T36" i="27"/>
  <c r="S36" i="27"/>
  <c r="R36" i="27"/>
  <c r="Q36" i="27"/>
  <c r="P36" i="27"/>
  <c r="O36" i="27"/>
  <c r="N36" i="27"/>
  <c r="X35" i="27"/>
  <c r="W35" i="27"/>
  <c r="W38" i="27" s="1"/>
  <c r="U35" i="27"/>
  <c r="T35" i="27"/>
  <c r="S35" i="27"/>
  <c r="S38" i="27" s="1"/>
  <c r="R35" i="27"/>
  <c r="Q35" i="27"/>
  <c r="Q38" i="27" s="1"/>
  <c r="P35" i="27"/>
  <c r="P38" i="27" s="1"/>
  <c r="O35" i="27"/>
  <c r="N35" i="27"/>
  <c r="W30" i="27"/>
  <c r="V30" i="27"/>
  <c r="U30" i="27"/>
  <c r="T30" i="27"/>
  <c r="S30" i="27"/>
  <c r="R30" i="27"/>
  <c r="Q30" i="27"/>
  <c r="P30" i="27"/>
  <c r="O30" i="27"/>
  <c r="N30" i="27"/>
  <c r="W29" i="27"/>
  <c r="U29" i="27"/>
  <c r="T29" i="27"/>
  <c r="T32" i="27" s="1"/>
  <c r="S29" i="27"/>
  <c r="S32" i="27" s="1"/>
  <c r="R29" i="27"/>
  <c r="Q29" i="27"/>
  <c r="P29" i="27"/>
  <c r="O29" i="27"/>
  <c r="N29" i="27"/>
  <c r="N32" i="27" s="1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V21" i="27"/>
  <c r="V35" i="27" s="1"/>
  <c r="V38" i="27" s="1"/>
  <c r="T12" i="27"/>
  <c r="S12" i="27"/>
  <c r="R12" i="27"/>
  <c r="Q12" i="27"/>
  <c r="P12" i="27"/>
  <c r="O12" i="27"/>
  <c r="N12" i="27"/>
  <c r="M12" i="27"/>
  <c r="J12" i="27"/>
  <c r="I12" i="27"/>
  <c r="H12" i="27"/>
  <c r="G12" i="27"/>
  <c r="D12" i="27"/>
  <c r="C12" i="27"/>
  <c r="X11" i="27"/>
  <c r="W11" i="27"/>
  <c r="V11" i="27"/>
  <c r="V12" i="27" s="1"/>
  <c r="U11" i="27"/>
  <c r="U12" i="27" s="1"/>
  <c r="K11" i="27"/>
  <c r="L12" i="27" s="1"/>
  <c r="E11" i="27"/>
  <c r="F12" i="27" s="1"/>
  <c r="X10" i="27"/>
  <c r="W10" i="27"/>
  <c r="V10" i="27"/>
  <c r="U10" i="27"/>
  <c r="T10" i="27"/>
  <c r="S10" i="27"/>
  <c r="R10" i="27"/>
  <c r="Q10" i="27"/>
  <c r="P10" i="27"/>
  <c r="O10" i="27"/>
  <c r="N10" i="27"/>
  <c r="M10" i="27"/>
  <c r="J10" i="27"/>
  <c r="I10" i="27"/>
  <c r="H10" i="27"/>
  <c r="G10" i="27"/>
  <c r="D10" i="27"/>
  <c r="C10" i="27"/>
  <c r="K9" i="27"/>
  <c r="L10" i="27" s="1"/>
  <c r="E9" i="27"/>
  <c r="F10" i="27" s="1"/>
  <c r="X8" i="27"/>
  <c r="W8" i="27"/>
  <c r="V8" i="27"/>
  <c r="U8" i="27"/>
  <c r="T8" i="27"/>
  <c r="S8" i="27"/>
  <c r="R8" i="27"/>
  <c r="Q8" i="27"/>
  <c r="P8" i="27"/>
  <c r="O8" i="27"/>
  <c r="N8" i="27"/>
  <c r="M8" i="27"/>
  <c r="J8" i="27"/>
  <c r="I8" i="27"/>
  <c r="H8" i="27"/>
  <c r="G8" i="27"/>
  <c r="F8" i="27"/>
  <c r="D8" i="27"/>
  <c r="C8" i="27"/>
  <c r="K7" i="27"/>
  <c r="L8" i="27" s="1"/>
  <c r="E7" i="27"/>
  <c r="E8" i="27" s="1"/>
  <c r="G19" i="23" l="1"/>
  <c r="H19" i="23"/>
  <c r="B26" i="23"/>
  <c r="X38" i="27"/>
  <c r="W12" i="27"/>
  <c r="X12" i="27"/>
  <c r="AC12" i="27" s="1"/>
  <c r="Y12" i="27"/>
  <c r="O32" i="27"/>
  <c r="R38" i="27"/>
  <c r="P32" i="27"/>
  <c r="W32" i="27"/>
  <c r="AC10" i="27"/>
  <c r="Q32" i="27"/>
  <c r="N38" i="27"/>
  <c r="T38" i="27"/>
  <c r="U32" i="27"/>
  <c r="R32" i="27"/>
  <c r="O38" i="27"/>
  <c r="U38" i="27"/>
  <c r="C23" i="24"/>
  <c r="K8" i="27"/>
  <c r="K10" i="27"/>
  <c r="K12" i="27"/>
  <c r="E10" i="27"/>
  <c r="E12" i="27"/>
  <c r="V23" i="27"/>
  <c r="AC23" i="27" s="1"/>
  <c r="V29" i="27"/>
  <c r="V32" i="27" s="1"/>
  <c r="F8" i="24"/>
  <c r="G8" i="24" l="1"/>
  <c r="A12" i="24"/>
  <c r="E8" i="24" s="1"/>
  <c r="C20" i="24"/>
  <c r="C14" i="24"/>
  <c r="B14" i="24"/>
  <c r="G10" i="24"/>
  <c r="F10" i="24"/>
  <c r="C7" i="24"/>
  <c r="C8" i="24" s="1"/>
  <c r="B7" i="24"/>
  <c r="B8" i="24" s="1"/>
  <c r="C12" i="23"/>
  <c r="C6" i="23"/>
  <c r="C7" i="23" s="1"/>
  <c r="H31" i="23"/>
  <c r="G31" i="23"/>
  <c r="F30" i="23"/>
  <c r="F29" i="23"/>
  <c r="H25" i="23"/>
  <c r="H26" i="23" s="1"/>
  <c r="G25" i="23"/>
  <c r="G26" i="23" s="1"/>
  <c r="G28" i="23" s="1"/>
  <c r="H20" i="23"/>
  <c r="G20" i="23"/>
  <c r="G21" i="23" s="1"/>
  <c r="H18" i="23"/>
  <c r="F18" i="23"/>
  <c r="B12" i="23"/>
  <c r="H8" i="23"/>
  <c r="G8" i="23"/>
  <c r="F7" i="23"/>
  <c r="H6" i="23"/>
  <c r="G6" i="23"/>
  <c r="F6" i="23"/>
  <c r="B6" i="23"/>
  <c r="B7" i="23" s="1"/>
  <c r="B9" i="23" s="1"/>
  <c r="G29" i="23" l="1"/>
  <c r="G30" i="23"/>
  <c r="B10" i="24"/>
  <c r="B11" i="24" s="1"/>
  <c r="H28" i="23"/>
  <c r="H30" i="23" s="1"/>
  <c r="H10" i="23"/>
  <c r="C10" i="24"/>
  <c r="C13" i="24" s="1"/>
  <c r="C9" i="23"/>
  <c r="C10" i="23" s="1"/>
  <c r="G7" i="24"/>
  <c r="F7" i="24"/>
  <c r="F12" i="24" s="1"/>
  <c r="H21" i="23"/>
  <c r="G10" i="23"/>
  <c r="B11" i="23"/>
  <c r="B10" i="23"/>
  <c r="C7" i="19"/>
  <c r="C9" i="19" s="1"/>
  <c r="C11" i="23" l="1"/>
  <c r="G32" i="23"/>
  <c r="H29" i="23"/>
  <c r="H32" i="23" s="1"/>
  <c r="B13" i="24"/>
  <c r="B12" i="24"/>
  <c r="B15" i="24" s="1"/>
  <c r="G12" i="24"/>
  <c r="C11" i="24"/>
  <c r="C12" i="24"/>
  <c r="C13" i="23"/>
  <c r="B13" i="23"/>
  <c r="G7" i="19"/>
  <c r="F30" i="19"/>
  <c r="C15" i="24" l="1"/>
  <c r="B25" i="19"/>
  <c r="A29" i="20" l="1"/>
  <c r="F9" i="20" l="1"/>
  <c r="E8" i="20"/>
  <c r="A12" i="20"/>
  <c r="C22" i="20"/>
  <c r="G8" i="20" s="1"/>
  <c r="C21" i="20"/>
  <c r="F8" i="20" s="1"/>
  <c r="C20" i="20"/>
  <c r="H19" i="19"/>
  <c r="G19" i="19"/>
  <c r="B24" i="19"/>
  <c r="B27" i="20" l="1"/>
  <c r="B26" i="20"/>
  <c r="C14" i="20"/>
  <c r="B14" i="20"/>
  <c r="G10" i="20"/>
  <c r="F10" i="20"/>
  <c r="G9" i="20"/>
  <c r="G7" i="20"/>
  <c r="F7" i="20"/>
  <c r="C7" i="20"/>
  <c r="C8" i="20" s="1"/>
  <c r="C10" i="20" s="1"/>
  <c r="B7" i="20"/>
  <c r="B8" i="20" s="1"/>
  <c r="B10" i="20" s="1"/>
  <c r="B6" i="19"/>
  <c r="B7" i="19" s="1"/>
  <c r="B9" i="19" s="1"/>
  <c r="F6" i="19"/>
  <c r="G6" i="19"/>
  <c r="H6" i="19"/>
  <c r="F7" i="19"/>
  <c r="H7" i="19"/>
  <c r="G8" i="19"/>
  <c r="H8" i="19"/>
  <c r="B12" i="19"/>
  <c r="F18" i="19"/>
  <c r="G18" i="19"/>
  <c r="H18" i="19"/>
  <c r="G20" i="19"/>
  <c r="H20" i="19"/>
  <c r="G25" i="19"/>
  <c r="G26" i="19" s="1"/>
  <c r="G28" i="19" s="1"/>
  <c r="H25" i="19"/>
  <c r="B26" i="19"/>
  <c r="H26" i="19"/>
  <c r="H28" i="19" s="1"/>
  <c r="H30" i="19" s="1"/>
  <c r="F29" i="19"/>
  <c r="G31" i="19"/>
  <c r="H31" i="19"/>
  <c r="G12" i="20" l="1"/>
  <c r="G14" i="20"/>
  <c r="F14" i="20"/>
  <c r="F12" i="20"/>
  <c r="G10" i="19"/>
  <c r="H21" i="19"/>
  <c r="G29" i="19"/>
  <c r="G30" i="19"/>
  <c r="G32" i="19" s="1"/>
  <c r="H10" i="19"/>
  <c r="G21" i="19"/>
  <c r="B11" i="20"/>
  <c r="B13" i="20"/>
  <c r="B12" i="20"/>
  <c r="C13" i="20"/>
  <c r="C12" i="20"/>
  <c r="C11" i="20"/>
  <c r="C10" i="19"/>
  <c r="B11" i="19"/>
  <c r="B10" i="19"/>
  <c r="H29" i="19"/>
  <c r="H32" i="19" s="1"/>
  <c r="M6" i="16"/>
  <c r="M5" i="16"/>
  <c r="M4" i="16"/>
  <c r="M7" i="16"/>
  <c r="A29" i="17"/>
  <c r="B26" i="17"/>
  <c r="C15" i="20" l="1"/>
  <c r="C13" i="19"/>
  <c r="B15" i="20"/>
  <c r="B13" i="19"/>
  <c r="H20" i="18"/>
  <c r="H19" i="18"/>
  <c r="H18" i="18"/>
  <c r="B26" i="13" l="1"/>
  <c r="G9" i="17"/>
  <c r="F9" i="17"/>
  <c r="G8" i="17"/>
  <c r="F8" i="17"/>
  <c r="H19" i="16"/>
  <c r="G19" i="16"/>
  <c r="C12" i="16"/>
  <c r="G6" i="16"/>
  <c r="B26" i="16"/>
  <c r="B25" i="16"/>
  <c r="B24" i="16"/>
  <c r="B27" i="17"/>
  <c r="C14" i="17"/>
  <c r="B14" i="17"/>
  <c r="G10" i="17"/>
  <c r="F10" i="17"/>
  <c r="G7" i="17"/>
  <c r="F7" i="17"/>
  <c r="C7" i="17"/>
  <c r="C8" i="17" s="1"/>
  <c r="C10" i="17" s="1"/>
  <c r="B7" i="17"/>
  <c r="B8" i="17" s="1"/>
  <c r="B10" i="17" s="1"/>
  <c r="H31" i="16"/>
  <c r="G31" i="16"/>
  <c r="F29" i="16"/>
  <c r="H25" i="16"/>
  <c r="H26" i="16" s="1"/>
  <c r="H28" i="16" s="1"/>
  <c r="G25" i="16"/>
  <c r="G26" i="16" s="1"/>
  <c r="G28" i="16" s="1"/>
  <c r="H20" i="16"/>
  <c r="G20" i="16"/>
  <c r="H18" i="16"/>
  <c r="G18" i="16"/>
  <c r="F18" i="16"/>
  <c r="B12" i="16"/>
  <c r="H8" i="16"/>
  <c r="G8" i="16"/>
  <c r="H7" i="16"/>
  <c r="G7" i="16"/>
  <c r="F7" i="16"/>
  <c r="H6" i="16"/>
  <c r="F6" i="16"/>
  <c r="C6" i="16"/>
  <c r="C7" i="16" s="1"/>
  <c r="C9" i="16" s="1"/>
  <c r="B6" i="16"/>
  <c r="B7" i="16" s="1"/>
  <c r="F12" i="17" l="1"/>
  <c r="F14" i="17"/>
  <c r="B9" i="16"/>
  <c r="B11" i="16" s="1"/>
  <c r="G14" i="17"/>
  <c r="G12" i="17"/>
  <c r="G21" i="16"/>
  <c r="C11" i="16"/>
  <c r="H21" i="16"/>
  <c r="H10" i="16"/>
  <c r="G10" i="16"/>
  <c r="C13" i="17"/>
  <c r="C12" i="17"/>
  <c r="C11" i="17"/>
  <c r="B11" i="17"/>
  <c r="B13" i="17"/>
  <c r="B12" i="17"/>
  <c r="B15" i="17" s="1"/>
  <c r="G30" i="16"/>
  <c r="G29" i="16"/>
  <c r="H29" i="16"/>
  <c r="H30" i="16"/>
  <c r="C10" i="16"/>
  <c r="G8" i="14"/>
  <c r="F8" i="14"/>
  <c r="H19" i="13"/>
  <c r="G19" i="13"/>
  <c r="H7" i="13"/>
  <c r="G7" i="13"/>
  <c r="C13" i="16" l="1"/>
  <c r="B10" i="16"/>
  <c r="B13" i="16" s="1"/>
  <c r="C15" i="17"/>
  <c r="G32" i="16"/>
  <c r="H32" i="16"/>
  <c r="G9" i="14"/>
  <c r="F9" i="14"/>
  <c r="B26" i="14"/>
  <c r="B27" i="14"/>
  <c r="A12" i="14"/>
  <c r="F29" i="13"/>
  <c r="F18" i="13"/>
  <c r="F6" i="13"/>
  <c r="F7" i="13"/>
  <c r="B25" i="13"/>
  <c r="B24" i="13"/>
  <c r="C14" i="14"/>
  <c r="B14" i="14"/>
  <c r="G10" i="14"/>
  <c r="F10" i="14"/>
  <c r="G7" i="14"/>
  <c r="F7" i="14"/>
  <c r="C7" i="14"/>
  <c r="C8" i="14" s="1"/>
  <c r="C10" i="14" s="1"/>
  <c r="C13" i="14" s="1"/>
  <c r="B7" i="14"/>
  <c r="B8" i="14" s="1"/>
  <c r="H31" i="13"/>
  <c r="G31" i="13"/>
  <c r="H25" i="13"/>
  <c r="H26" i="13" s="1"/>
  <c r="G25" i="13"/>
  <c r="G26" i="13" s="1"/>
  <c r="G28" i="13" s="1"/>
  <c r="H20" i="13"/>
  <c r="G20" i="13"/>
  <c r="H18" i="13"/>
  <c r="G18" i="13"/>
  <c r="C12" i="13"/>
  <c r="B12" i="13"/>
  <c r="H8" i="13"/>
  <c r="G8" i="13"/>
  <c r="H6" i="13"/>
  <c r="G6" i="13"/>
  <c r="C6" i="13"/>
  <c r="C7" i="13" s="1"/>
  <c r="C9" i="13" s="1"/>
  <c r="B6" i="13"/>
  <c r="B7" i="13" s="1"/>
  <c r="B9" i="13" s="1"/>
  <c r="B11" i="13" s="1"/>
  <c r="G14" i="14" l="1"/>
  <c r="B10" i="14"/>
  <c r="B13" i="14" s="1"/>
  <c r="G30" i="13"/>
  <c r="G29" i="13"/>
  <c r="H28" i="13"/>
  <c r="H30" i="13" s="1"/>
  <c r="F14" i="14"/>
  <c r="G12" i="14"/>
  <c r="F12" i="14"/>
  <c r="B10" i="13"/>
  <c r="B13" i="13" s="1"/>
  <c r="H21" i="13"/>
  <c r="G10" i="13"/>
  <c r="H10" i="13"/>
  <c r="G21" i="13"/>
  <c r="C12" i="14"/>
  <c r="C11" i="14"/>
  <c r="B11" i="14"/>
  <c r="C10" i="13"/>
  <c r="C11" i="13"/>
  <c r="G9" i="12"/>
  <c r="F9" i="12"/>
  <c r="B27" i="12"/>
  <c r="B26" i="12"/>
  <c r="G8" i="12"/>
  <c r="F8" i="12"/>
  <c r="G7" i="12"/>
  <c r="F7" i="12"/>
  <c r="H19" i="9"/>
  <c r="G19" i="9"/>
  <c r="H18" i="9"/>
  <c r="G18" i="9"/>
  <c r="H7" i="9"/>
  <c r="G7" i="9"/>
  <c r="H6" i="9"/>
  <c r="G6" i="9"/>
  <c r="B26" i="9"/>
  <c r="B25" i="9"/>
  <c r="B24" i="9"/>
  <c r="G10" i="12"/>
  <c r="F10" i="12"/>
  <c r="C14" i="12"/>
  <c r="B14" i="12"/>
  <c r="C7" i="12"/>
  <c r="B7" i="12"/>
  <c r="G31" i="9"/>
  <c r="H31" i="9"/>
  <c r="H25" i="9"/>
  <c r="G25" i="9"/>
  <c r="G8" i="9"/>
  <c r="C12" i="9"/>
  <c r="B12" i="9"/>
  <c r="C6" i="9"/>
  <c r="B6" i="9"/>
  <c r="H29" i="13" l="1"/>
  <c r="B12" i="14"/>
  <c r="B15" i="14" s="1"/>
  <c r="C15" i="14"/>
  <c r="C13" i="13"/>
  <c r="H32" i="13"/>
  <c r="G32" i="13"/>
  <c r="G14" i="12"/>
  <c r="F12" i="12"/>
  <c r="F14" i="12"/>
  <c r="G12" i="12"/>
  <c r="H26" i="9"/>
  <c r="H28" i="9" s="1"/>
  <c r="G26" i="9"/>
  <c r="G28" i="9" s="1"/>
  <c r="C8" i="12"/>
  <c r="C10" i="12" s="1"/>
  <c r="C13" i="12" s="1"/>
  <c r="B8" i="12"/>
  <c r="B10" i="12" s="1"/>
  <c r="B13" i="12" s="1"/>
  <c r="H20" i="9"/>
  <c r="G20" i="9"/>
  <c r="G21" i="9" s="1"/>
  <c r="H8" i="9"/>
  <c r="B26" i="11"/>
  <c r="B25" i="11"/>
  <c r="G20" i="11"/>
  <c r="F20" i="11"/>
  <c r="G19" i="11"/>
  <c r="G22" i="11" s="1"/>
  <c r="F19" i="11"/>
  <c r="G7" i="11"/>
  <c r="F7" i="11"/>
  <c r="C7" i="11"/>
  <c r="C9" i="11" s="1"/>
  <c r="B7" i="11"/>
  <c r="B9" i="11" s="1"/>
  <c r="G6" i="11"/>
  <c r="F6" i="11"/>
  <c r="F10" i="11" s="1"/>
  <c r="G8" i="10"/>
  <c r="F8" i="10"/>
  <c r="C10" i="10"/>
  <c r="C13" i="10" s="1"/>
  <c r="B10" i="10"/>
  <c r="B13" i="10" s="1"/>
  <c r="C12" i="10"/>
  <c r="B27" i="10"/>
  <c r="B26" i="10"/>
  <c r="F7" i="10"/>
  <c r="F14" i="10" s="1"/>
  <c r="G9" i="10"/>
  <c r="F9" i="10"/>
  <c r="G7" i="10"/>
  <c r="B12" i="10" l="1"/>
  <c r="G10" i="11"/>
  <c r="G12" i="10"/>
  <c r="G30" i="9"/>
  <c r="G29" i="9"/>
  <c r="G32" i="9" s="1"/>
  <c r="C11" i="12"/>
  <c r="C12" i="12"/>
  <c r="F12" i="10"/>
  <c r="B11" i="12"/>
  <c r="B12" i="12"/>
  <c r="H29" i="9"/>
  <c r="H30" i="9"/>
  <c r="G14" i="10"/>
  <c r="F22" i="11"/>
  <c r="C11" i="11"/>
  <c r="C10" i="11"/>
  <c r="B11" i="11"/>
  <c r="B10" i="11"/>
  <c r="B13" i="11" s="1"/>
  <c r="C11" i="10"/>
  <c r="C15" i="10" s="1"/>
  <c r="B11" i="10"/>
  <c r="B15" i="10" s="1"/>
  <c r="H21" i="9"/>
  <c r="C7" i="9"/>
  <c r="C9" i="9" s="1"/>
  <c r="B7" i="9"/>
  <c r="B9" i="9" s="1"/>
  <c r="H10" i="9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" i="3"/>
  <c r="B26" i="8"/>
  <c r="B25" i="8"/>
  <c r="G7" i="8"/>
  <c r="F7" i="8"/>
  <c r="C7" i="8"/>
  <c r="C9" i="8" s="1"/>
  <c r="C11" i="8" s="1"/>
  <c r="B7" i="8"/>
  <c r="B9" i="8" s="1"/>
  <c r="G6" i="8"/>
  <c r="F6" i="8"/>
  <c r="G7" i="7"/>
  <c r="F7" i="7"/>
  <c r="B26" i="7"/>
  <c r="B25" i="7"/>
  <c r="C7" i="7"/>
  <c r="C9" i="7" s="1"/>
  <c r="C11" i="7" s="1"/>
  <c r="B7" i="7"/>
  <c r="B9" i="7" s="1"/>
  <c r="B11" i="7" s="1"/>
  <c r="G6" i="7"/>
  <c r="F6" i="7"/>
  <c r="F10" i="7" s="1"/>
  <c r="F7" i="5"/>
  <c r="F6" i="5"/>
  <c r="G6" i="5"/>
  <c r="B7" i="5"/>
  <c r="B9" i="5" s="1"/>
  <c r="C7" i="5"/>
  <c r="G7" i="5"/>
  <c r="C9" i="5"/>
  <c r="C11" i="5" s="1"/>
  <c r="B25" i="5"/>
  <c r="B26" i="5"/>
  <c r="B7" i="4"/>
  <c r="B9" i="4"/>
  <c r="B10" i="4" s="1"/>
  <c r="F7" i="4"/>
  <c r="F6" i="4"/>
  <c r="F10" i="4" s="1"/>
  <c r="G6" i="4"/>
  <c r="C7" i="4"/>
  <c r="C9" i="4" s="1"/>
  <c r="G7" i="4"/>
  <c r="B25" i="4"/>
  <c r="B26" i="4"/>
  <c r="D27" i="3"/>
  <c r="C27" i="3"/>
  <c r="H25" i="3"/>
  <c r="E27" i="3"/>
  <c r="F27" i="3"/>
  <c r="G27" i="3"/>
  <c r="K3" i="3"/>
  <c r="H32" i="9" l="1"/>
  <c r="G10" i="5"/>
  <c r="G10" i="8"/>
  <c r="F10" i="5"/>
  <c r="H28" i="3"/>
  <c r="I28" i="3" s="1"/>
  <c r="H27" i="3"/>
  <c r="H29" i="3" s="1"/>
  <c r="B11" i="4"/>
  <c r="B13" i="4" s="1"/>
  <c r="G10" i="4"/>
  <c r="F10" i="8"/>
  <c r="B10" i="5"/>
  <c r="B11" i="5"/>
  <c r="C10" i="4"/>
  <c r="C11" i="4"/>
  <c r="B11" i="8"/>
  <c r="B10" i="8"/>
  <c r="C11" i="9"/>
  <c r="C10" i="9"/>
  <c r="C10" i="5"/>
  <c r="C13" i="5" s="1"/>
  <c r="B11" i="9"/>
  <c r="B10" i="9"/>
  <c r="B13" i="9" s="1"/>
  <c r="G10" i="7"/>
  <c r="C13" i="11"/>
  <c r="B15" i="12"/>
  <c r="C15" i="12"/>
  <c r="G10" i="9"/>
  <c r="C10" i="8"/>
  <c r="C10" i="7"/>
  <c r="C13" i="7" s="1"/>
  <c r="B10" i="7"/>
  <c r="B13" i="7" s="1"/>
  <c r="C13" i="9" l="1"/>
  <c r="B13" i="5"/>
  <c r="C13" i="4"/>
  <c r="C13" i="8"/>
  <c r="B1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hongvu</author>
  </authors>
  <commentList>
    <comment ref="D22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Budgeting for Medical:</t>
        </r>
        <r>
          <rPr>
            <sz val="10"/>
            <color indexed="81"/>
            <rFont val="Tahoma"/>
            <family val="2"/>
          </rPr>
          <t xml:space="preserve">
1) Less than .75 FTE - no medical needed
2) Equal to or greater than .75 FTE - full medical needed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hongvu</author>
  </authors>
  <commentList>
    <comment ref="D24" authorId="0" shapeId="0" xr:uid="{536D1A2E-20FC-4FE1-90E7-A8BEA66E17ED}">
      <text>
        <r>
          <rPr>
            <b/>
            <sz val="10"/>
            <color indexed="81"/>
            <rFont val="Tahoma"/>
            <family val="2"/>
          </rPr>
          <t>Budgeting for Medical:</t>
        </r>
        <r>
          <rPr>
            <sz val="10"/>
            <color indexed="81"/>
            <rFont val="Tahoma"/>
            <family val="2"/>
          </rPr>
          <t xml:space="preserve">
1) Less than .75 FTE - no medical needed
2) Equal to or greater than .75 FTE - full medical needed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Sherrie High</author>
  </authors>
  <commentList>
    <comment ref="L21" authorId="0" shapeId="0" xr:uid="{00000000-0006-0000-0D00-000001000000}">
      <text>
        <r>
          <rPr>
            <sz val="8"/>
            <color indexed="81"/>
            <rFont val="Tahoma"/>
            <family val="2"/>
          </rPr>
          <t>indemnity</t>
        </r>
      </text>
    </comment>
    <comment ref="L22" authorId="0" shapeId="0" xr:uid="{00000000-0006-0000-0D00-000002000000}">
      <text>
        <r>
          <rPr>
            <sz val="8"/>
            <color indexed="81"/>
            <rFont val="Tahoma"/>
            <family val="2"/>
          </rPr>
          <t>PPO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hongvu</author>
  </authors>
  <commentList>
    <comment ref="D22" authorId="0" shapeId="0" xr:uid="{00000000-0006-0000-0E00-000001000000}">
      <text>
        <r>
          <rPr>
            <b/>
            <sz val="10"/>
            <color indexed="81"/>
            <rFont val="Tahoma"/>
            <family val="2"/>
          </rPr>
          <t>Budgeting for Medical:</t>
        </r>
        <r>
          <rPr>
            <sz val="10"/>
            <color indexed="81"/>
            <rFont val="Tahoma"/>
            <family val="2"/>
          </rPr>
          <t xml:space="preserve">
1) Less than .75 FTE - no medical needed
2) Equal to or greater than .75 FTE - full medical needed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hongvu</author>
  </authors>
  <commentList>
    <comment ref="D22" authorId="0" shapeId="0" xr:uid="{00000000-0006-0000-0F00-000001000000}">
      <text>
        <r>
          <rPr>
            <b/>
            <sz val="10"/>
            <color indexed="81"/>
            <rFont val="Tahoma"/>
            <family val="2"/>
          </rPr>
          <t>Budgeting for Medical:</t>
        </r>
        <r>
          <rPr>
            <sz val="10"/>
            <color indexed="81"/>
            <rFont val="Tahoma"/>
            <family val="2"/>
          </rPr>
          <t xml:space="preserve">
1) Less than .75 FTE - no medical needed
2) Equal to or greater than .75 FTE - full medical needed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hongvu</author>
  </authors>
  <commentList>
    <comment ref="D22" authorId="0" shapeId="0" xr:uid="{00000000-0006-0000-1000-000001000000}">
      <text>
        <r>
          <rPr>
            <b/>
            <sz val="10"/>
            <color indexed="81"/>
            <rFont val="Tahoma"/>
            <family val="2"/>
          </rPr>
          <t>Budgeting for Medical:</t>
        </r>
        <r>
          <rPr>
            <sz val="10"/>
            <color indexed="81"/>
            <rFont val="Tahoma"/>
            <family val="2"/>
          </rPr>
          <t xml:space="preserve">
1) Less than .75 FTE - no medical needed
2) Equal to or greater than .75 FTE - full medical needed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hongvu</author>
  </authors>
  <commentList>
    <comment ref="D22" authorId="0" shapeId="0" xr:uid="{00000000-0006-0000-1100-000001000000}">
      <text>
        <r>
          <rPr>
            <b/>
            <sz val="10"/>
            <color indexed="81"/>
            <rFont val="Tahoma"/>
            <family val="2"/>
          </rPr>
          <t>Budgeting for Medical:</t>
        </r>
        <r>
          <rPr>
            <sz val="10"/>
            <color indexed="81"/>
            <rFont val="Tahoma"/>
            <family val="2"/>
          </rPr>
          <t xml:space="preserve">
1) Less than .75 FTE - no medical needed
2) Equal to or greater than .75 FTE - full medical needed</t>
        </r>
      </text>
    </comment>
    <comment ref="C24" authorId="0" shapeId="0" xr:uid="{00000000-0006-0000-1100-000002000000}">
      <text>
        <r>
          <rPr>
            <sz val="10"/>
            <color indexed="81"/>
            <rFont val="Tahoma"/>
            <family val="2"/>
          </rPr>
          <t>FY 13-14 Confirmed rate
Signed by UNCCharlotte dated 12/3/13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hongvu</author>
  </authors>
  <commentList>
    <comment ref="D23" authorId="0" shapeId="0" xr:uid="{00000000-0006-0000-1200-000001000000}">
      <text>
        <r>
          <rPr>
            <b/>
            <sz val="10"/>
            <color indexed="81"/>
            <rFont val="Tahoma"/>
            <family val="2"/>
          </rPr>
          <t>Budgeting for Medical:</t>
        </r>
        <r>
          <rPr>
            <sz val="10"/>
            <color indexed="81"/>
            <rFont val="Tahoma"/>
            <family val="2"/>
          </rPr>
          <t xml:space="preserve">
1) Less than .75 FTE - no medical needed
2) Equal to or greater than .75 FTE - full medical needed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hongvu</author>
  </authors>
  <commentList>
    <comment ref="D22" authorId="0" shapeId="0" xr:uid="{00000000-0006-0000-1300-000001000000}">
      <text>
        <r>
          <rPr>
            <b/>
            <sz val="10"/>
            <color indexed="81"/>
            <rFont val="Tahoma"/>
            <family val="2"/>
          </rPr>
          <t>Budgeting for Medical:</t>
        </r>
        <r>
          <rPr>
            <sz val="10"/>
            <color indexed="81"/>
            <rFont val="Tahoma"/>
            <family val="2"/>
          </rPr>
          <t xml:space="preserve">
1) Less than .75 FTE - no medical needed
2) Equal to or greater than .75 FTE - full medical needed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hongvu</author>
  </authors>
  <commentList>
    <comment ref="D23" authorId="0" shapeId="0" xr:uid="{00000000-0006-0000-1400-000001000000}">
      <text>
        <r>
          <rPr>
            <b/>
            <sz val="10"/>
            <color indexed="81"/>
            <rFont val="Tahoma"/>
            <family val="2"/>
          </rPr>
          <t>hongvu:</t>
        </r>
        <r>
          <rPr>
            <sz val="10"/>
            <color indexed="81"/>
            <rFont val="Tahoma"/>
            <family val="2"/>
          </rPr>
          <t xml:space="preserve">
1)  Less than .75 FTE - no medical needed
2) Equal to or greater than .75 FTE - full medical needed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hongvu</author>
  </authors>
  <commentList>
    <comment ref="D23" authorId="0" shapeId="0" xr:uid="{00000000-0006-0000-1500-000001000000}">
      <text>
        <r>
          <rPr>
            <b/>
            <sz val="10"/>
            <color indexed="81"/>
            <rFont val="Tahoma"/>
            <family val="2"/>
          </rPr>
          <t>hongvu:</t>
        </r>
        <r>
          <rPr>
            <sz val="10"/>
            <color indexed="81"/>
            <rFont val="Tahoma"/>
            <family val="2"/>
          </rPr>
          <t xml:space="preserve">
1)  Less than .75 FTE - no medical needed
2) Equal to or greater than .75 FTE - full medical needed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hongvu</author>
  </authors>
  <commentList>
    <comment ref="D23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>Budgeting for Medical:</t>
        </r>
        <r>
          <rPr>
            <sz val="10"/>
            <color indexed="81"/>
            <rFont val="Tahoma"/>
            <family val="2"/>
          </rPr>
          <t xml:space="preserve">
1) Less than .75 FTE - no medical needed
2) Equal to or greater than .75 FTE - full medical needed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hongvu</author>
  </authors>
  <commentList>
    <comment ref="D23" authorId="0" shapeId="0" xr:uid="{00000000-0006-0000-1600-000001000000}">
      <text>
        <r>
          <rPr>
            <b/>
            <sz val="10"/>
            <color indexed="81"/>
            <rFont val="Tahoma"/>
            <family val="2"/>
          </rPr>
          <t>hongvu:</t>
        </r>
        <r>
          <rPr>
            <sz val="10"/>
            <color indexed="81"/>
            <rFont val="Tahoma"/>
            <family val="2"/>
          </rPr>
          <t xml:space="preserve">
1)  Less than .75 FTE - no medical needed
2) Equal to or greater than .75 FTE - full medical needed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hongvu</author>
  </authors>
  <commentList>
    <comment ref="D23" authorId="0" shapeId="0" xr:uid="{00000000-0006-0000-1700-000001000000}">
      <text>
        <r>
          <rPr>
            <b/>
            <sz val="10"/>
            <color indexed="81"/>
            <rFont val="Tahoma"/>
            <family val="2"/>
          </rPr>
          <t>hongvu:</t>
        </r>
        <r>
          <rPr>
            <sz val="10"/>
            <color indexed="81"/>
            <rFont val="Tahoma"/>
            <family val="2"/>
          </rPr>
          <t xml:space="preserve">
1)  Less than .75 FTE - no medical needed
2) Equal to or greater than .75 FTE - full medical needed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hongvu</author>
  </authors>
  <commentList>
    <comment ref="D22" authorId="0" shapeId="0" xr:uid="{00000000-0006-0000-0400-000001000000}">
      <text>
        <r>
          <rPr>
            <b/>
            <sz val="10"/>
            <color indexed="81"/>
            <rFont val="Tahoma"/>
            <family val="2"/>
          </rPr>
          <t>Budgeting for Medical:</t>
        </r>
        <r>
          <rPr>
            <sz val="10"/>
            <color indexed="81"/>
            <rFont val="Tahoma"/>
            <family val="2"/>
          </rPr>
          <t xml:space="preserve">
1) Less than .75 FTE - no medical needed
2) Equal to or greater than .75 FTE - full medical needed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hongvu</author>
  </authors>
  <commentList>
    <comment ref="D22" authorId="0" shapeId="0" xr:uid="{00000000-0006-0000-0600-000001000000}">
      <text>
        <r>
          <rPr>
            <b/>
            <sz val="10"/>
            <color indexed="81"/>
            <rFont val="Tahoma"/>
            <family val="2"/>
          </rPr>
          <t>Budgeting for Medical:</t>
        </r>
        <r>
          <rPr>
            <sz val="10"/>
            <color indexed="81"/>
            <rFont val="Tahoma"/>
            <family val="2"/>
          </rPr>
          <t xml:space="preserve">
1) Less than .75 FTE - no medical needed
2) Equal to or greater than .75 FTE - full medical needed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hongvu</author>
  </authors>
  <commentList>
    <comment ref="D22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>Budgeting for Medical:</t>
        </r>
        <r>
          <rPr>
            <sz val="10"/>
            <color indexed="81"/>
            <rFont val="Tahoma"/>
            <family val="2"/>
          </rPr>
          <t xml:space="preserve">
1) Less than .75 FTE - no medical needed
2) Equal to or greater than .75 FTE - full medical needed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hongvu</author>
  </authors>
  <commentList>
    <comment ref="D24" authorId="0" shapeId="0" xr:uid="{00000000-0006-0000-0A00-000001000000}">
      <text>
        <r>
          <rPr>
            <b/>
            <sz val="10"/>
            <color indexed="81"/>
            <rFont val="Tahoma"/>
            <family val="2"/>
          </rPr>
          <t>Budgeting for Medical:</t>
        </r>
        <r>
          <rPr>
            <sz val="10"/>
            <color indexed="81"/>
            <rFont val="Tahoma"/>
            <family val="2"/>
          </rPr>
          <t xml:space="preserve">
1) Less than .75 FTE - no medical needed
2) Equal to or greater than .75 FTE - full medical needed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hongvu</author>
  </authors>
  <commentList>
    <comment ref="D22" authorId="0" shapeId="0" xr:uid="{264681A8-2762-4E10-BBC8-97B17EAD165F}">
      <text>
        <r>
          <rPr>
            <b/>
            <sz val="10"/>
            <color indexed="81"/>
            <rFont val="Tahoma"/>
            <family val="2"/>
          </rPr>
          <t>Budgeting for Medical:</t>
        </r>
        <r>
          <rPr>
            <sz val="10"/>
            <color indexed="81"/>
            <rFont val="Tahoma"/>
            <family val="2"/>
          </rPr>
          <t xml:space="preserve">
1) Less than .75 FTE - no medical needed
2) Equal to or greater than .75 FTE - full medical needed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hongvu</author>
  </authors>
  <commentList>
    <comment ref="D24" authorId="0" shapeId="0" xr:uid="{AEA3FCDC-A521-46EC-A180-C84AE5B160EB}">
      <text>
        <r>
          <rPr>
            <b/>
            <sz val="10"/>
            <color indexed="81"/>
            <rFont val="Tahoma"/>
            <family val="2"/>
          </rPr>
          <t>Budgeting for Medical:</t>
        </r>
        <r>
          <rPr>
            <sz val="10"/>
            <color indexed="81"/>
            <rFont val="Tahoma"/>
            <family val="2"/>
          </rPr>
          <t xml:space="preserve">
1) Less than .75 FTE - no medical needed
2) Equal to or greater than .75 FTE - full medical needed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hongvu</author>
  </authors>
  <commentList>
    <comment ref="D22" authorId="0" shapeId="0" xr:uid="{1932BDBC-3D65-42DF-AE40-8B5F899D4391}">
      <text>
        <r>
          <rPr>
            <b/>
            <sz val="10"/>
            <color indexed="81"/>
            <rFont val="Tahoma"/>
            <family val="2"/>
          </rPr>
          <t>Budgeting for Medical:</t>
        </r>
        <r>
          <rPr>
            <sz val="10"/>
            <color indexed="81"/>
            <rFont val="Tahoma"/>
            <family val="2"/>
          </rPr>
          <t xml:space="preserve">
1) Less than .75 FTE - no medical needed
2) Equal to or greater than .75 FTE - full medical needed
</t>
        </r>
      </text>
    </comment>
  </commentList>
</comments>
</file>

<file path=xl/sharedStrings.xml><?xml version="1.0" encoding="utf-8"?>
<sst xmlns="http://schemas.openxmlformats.org/spreadsheetml/2006/main" count="1625" uniqueCount="357">
  <si>
    <t>Medical</t>
  </si>
  <si>
    <t>CATEGORIES</t>
  </si>
  <si>
    <t>ACCOUNT</t>
  </si>
  <si>
    <t>RATE</t>
  </si>
  <si>
    <t>FICA</t>
  </si>
  <si>
    <t>Law Officer's Retirement</t>
  </si>
  <si>
    <t>Medical Insurance</t>
  </si>
  <si>
    <t>Optional Retirement</t>
  </si>
  <si>
    <t>EPA Fringe total</t>
  </si>
  <si>
    <t>SPA Fringe Total</t>
  </si>
  <si>
    <t>SPA</t>
  </si>
  <si>
    <t>EPA</t>
  </si>
  <si>
    <t>Available Base</t>
  </si>
  <si>
    <t>Total Budget</t>
  </si>
  <si>
    <r>
      <t xml:space="preserve">FICA </t>
    </r>
    <r>
      <rPr>
        <sz val="10"/>
        <color indexed="17"/>
        <rFont val="Arial"/>
        <family val="2"/>
      </rPr>
      <t>(Salary X .0765)</t>
    </r>
  </si>
  <si>
    <r>
      <t>If you know the salary</t>
    </r>
    <r>
      <rPr>
        <sz val="10"/>
        <color indexed="10"/>
        <rFont val="Arial"/>
        <family val="2"/>
      </rPr>
      <t xml:space="preserve"> (enter amount here)</t>
    </r>
  </si>
  <si>
    <r>
      <t>If you have the total available Budget</t>
    </r>
    <r>
      <rPr>
        <sz val="10"/>
        <color indexed="10"/>
        <rFont val="Arial"/>
        <family val="2"/>
      </rPr>
      <t xml:space="preserve"> (enter amount here)</t>
    </r>
  </si>
  <si>
    <r>
      <t xml:space="preserve">Salary </t>
    </r>
    <r>
      <rPr>
        <sz val="10"/>
        <color indexed="17"/>
        <rFont val="Arial"/>
        <family val="2"/>
      </rPr>
      <t>(Available base divided by Fringe total)</t>
    </r>
  </si>
  <si>
    <r>
      <t xml:space="preserve">FICA </t>
    </r>
    <r>
      <rPr>
        <sz val="10"/>
        <color indexed="17"/>
        <rFont val="Arial"/>
        <family val="2"/>
      </rPr>
      <t>(Salary x .0765)</t>
    </r>
  </si>
  <si>
    <t>How much budget you'll need</t>
  </si>
  <si>
    <t>EXAMPLE 1</t>
  </si>
  <si>
    <t>EXAMPLE 2</t>
  </si>
  <si>
    <t xml:space="preserve">** </t>
  </si>
  <si>
    <t>Jan 15</t>
  </si>
  <si>
    <t>Jan 30</t>
  </si>
  <si>
    <t>Feb 15</t>
  </si>
  <si>
    <t>Feb 28</t>
  </si>
  <si>
    <t>Mar 15</t>
  </si>
  <si>
    <t>Mar 31</t>
  </si>
  <si>
    <t>Apr 15</t>
  </si>
  <si>
    <t>Apr 30</t>
  </si>
  <si>
    <t>May 15</t>
  </si>
  <si>
    <t>May 31</t>
  </si>
  <si>
    <t>June 15</t>
  </si>
  <si>
    <t>June 30</t>
  </si>
  <si>
    <t>July 15</t>
  </si>
  <si>
    <t>July 31</t>
  </si>
  <si>
    <t>Aug 15</t>
  </si>
  <si>
    <t>Aug 31</t>
  </si>
  <si>
    <t>Sept 15</t>
  </si>
  <si>
    <t>Sept 30</t>
  </si>
  <si>
    <t>Oct 15</t>
  </si>
  <si>
    <t>Oct 31</t>
  </si>
  <si>
    <t>Nov 15</t>
  </si>
  <si>
    <t>Nov 30</t>
  </si>
  <si>
    <t>Dec 15</t>
  </si>
  <si>
    <t>Dec 31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</si>
  <si>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</si>
  <si>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</si>
  <si>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</si>
  <si>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</si>
  <si>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</si>
  <si>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</si>
  <si>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</si>
  <si>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</si>
  <si>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</si>
  <si>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Grand Total</t>
  </si>
  <si>
    <t xml:space="preserve">State Retirement </t>
  </si>
  <si>
    <t>Annual Salary</t>
  </si>
  <si>
    <t>Payroll</t>
  </si>
  <si>
    <t>Pay Period</t>
  </si>
  <si>
    <t>TOTAL</t>
  </si>
  <si>
    <t>Per pay (24 total)</t>
  </si>
  <si>
    <t>SALARY AND FRINGE CALCULATION FOR FY 08-09</t>
  </si>
  <si>
    <r>
      <t xml:space="preserve">Retirement </t>
    </r>
    <r>
      <rPr>
        <sz val="10"/>
        <color indexed="17"/>
        <rFont val="Arial"/>
        <family val="2"/>
      </rPr>
      <t>(Salary x .0814 for SPA or .1146 for EPA)</t>
    </r>
  </si>
  <si>
    <t>FY 08-09 BENEFITS RATES</t>
  </si>
  <si>
    <t>Take out the Medical (Flat amount for FY 08-09)</t>
  </si>
  <si>
    <t>Updated 7/11/08</t>
  </si>
  <si>
    <t>SALARY AND FRINGE CALCULATION FOR FY 09-10</t>
  </si>
  <si>
    <t>FY 09-10 BENEFITS RATES</t>
  </si>
  <si>
    <t>Updated: 09/22/09</t>
  </si>
  <si>
    <t>Take out the Medical (Flat amount for FY 09-10)</t>
  </si>
  <si>
    <r>
      <t>If you have the total available Budget</t>
    </r>
    <r>
      <rPr>
        <sz val="9"/>
        <color indexed="10"/>
        <rFont val="Arial"/>
        <family val="2"/>
      </rPr>
      <t xml:space="preserve"> (enter amount here)</t>
    </r>
  </si>
  <si>
    <r>
      <t>If you know the salary</t>
    </r>
    <r>
      <rPr>
        <sz val="9"/>
        <color indexed="10"/>
        <rFont val="Arial"/>
        <family val="2"/>
      </rPr>
      <t xml:space="preserve"> (enter amount here)</t>
    </r>
  </si>
  <si>
    <r>
      <t xml:space="preserve">FICA </t>
    </r>
    <r>
      <rPr>
        <sz val="9"/>
        <color indexed="17"/>
        <rFont val="Arial"/>
        <family val="2"/>
      </rPr>
      <t>(Salary x .0765)</t>
    </r>
  </si>
  <si>
    <r>
      <t xml:space="preserve">Retirement </t>
    </r>
    <r>
      <rPr>
        <sz val="9"/>
        <color indexed="17"/>
        <rFont val="Arial"/>
        <family val="2"/>
      </rPr>
      <t>(Salary x .0875 for SPA or .1186 for EPA)</t>
    </r>
  </si>
  <si>
    <r>
      <t xml:space="preserve">Salary </t>
    </r>
    <r>
      <rPr>
        <sz val="9"/>
        <color indexed="17"/>
        <rFont val="Arial"/>
        <family val="2"/>
      </rPr>
      <t>(Available base divided by Fringe total)</t>
    </r>
  </si>
  <si>
    <r>
      <t xml:space="preserve">FICA </t>
    </r>
    <r>
      <rPr>
        <sz val="9"/>
        <color indexed="17"/>
        <rFont val="Arial"/>
        <family val="2"/>
      </rPr>
      <t>(Salary X .0765)</t>
    </r>
  </si>
  <si>
    <r>
      <t xml:space="preserve">Retirement </t>
    </r>
    <r>
      <rPr>
        <sz val="9"/>
        <color indexed="17"/>
        <rFont val="Arial"/>
        <family val="2"/>
      </rPr>
      <t>(Salary x .1051 for SPA or .1226for EPA)</t>
    </r>
  </si>
  <si>
    <t>FY 10-11 BENEFITS RATES</t>
  </si>
  <si>
    <t>SALARY AND FRINGE CALCULATIONS FOR FY 10-11</t>
  </si>
  <si>
    <t>Updated: 07/01/10</t>
  </si>
  <si>
    <r>
      <t xml:space="preserve">Retirement </t>
    </r>
    <r>
      <rPr>
        <sz val="9"/>
        <color indexed="17"/>
        <rFont val="Arial"/>
        <family val="2"/>
      </rPr>
      <t>(Salary x .1051 for SPA or .1226 for EPA)</t>
    </r>
  </si>
  <si>
    <r>
      <t xml:space="preserve">Take out the Medical </t>
    </r>
    <r>
      <rPr>
        <sz val="9"/>
        <color rgb="FF00B050"/>
        <rFont val="Arial"/>
        <family val="2"/>
      </rPr>
      <t>(Flat amount for FY 10-11)</t>
    </r>
  </si>
  <si>
    <t>SALARY AND FRINGE CALCULATIONS FOR FY 11-12</t>
  </si>
  <si>
    <r>
      <t xml:space="preserve">Take out the Medical </t>
    </r>
    <r>
      <rPr>
        <sz val="9"/>
        <color rgb="FF00B050"/>
        <rFont val="Arial"/>
        <family val="2"/>
      </rPr>
      <t>(Flat amount for FY 11-12)</t>
    </r>
  </si>
  <si>
    <t>Law Officer's Retirement (LEO)</t>
  </si>
  <si>
    <r>
      <t xml:space="preserve">Retirement </t>
    </r>
    <r>
      <rPr>
        <sz val="9"/>
        <color indexed="17"/>
        <rFont val="Arial"/>
        <family val="2"/>
      </rPr>
      <t>(Salary x .1312 for SPA or .1236 for EPA)</t>
    </r>
  </si>
  <si>
    <t>FY 11-12 BENEFITS RATES</t>
  </si>
  <si>
    <t>Updated: 06/21/11</t>
  </si>
  <si>
    <t>How much budget you'll need/have available</t>
  </si>
  <si>
    <r>
      <t xml:space="preserve">Take out the Medical </t>
    </r>
    <r>
      <rPr>
        <sz val="9"/>
        <color rgb="FF00B050"/>
        <rFont val="Arial"/>
        <family val="2"/>
      </rPr>
      <t>(Flat amount for FY 12-13)</t>
    </r>
  </si>
  <si>
    <t>FY 12-13 BENEFITS RATES</t>
  </si>
  <si>
    <t>EXAMPLE 3 Law Enforcement Officer (LEO)</t>
  </si>
  <si>
    <r>
      <t xml:space="preserve">FICA </t>
    </r>
    <r>
      <rPr>
        <sz val="9"/>
        <color rgb="FF0000FF"/>
        <rFont val="Arial"/>
        <family val="2"/>
      </rPr>
      <t>(Salary x .0765)</t>
    </r>
  </si>
  <si>
    <t>How much budget you'll need/have</t>
  </si>
  <si>
    <t>Claims Rate Fringe Benefits</t>
  </si>
  <si>
    <t>SPA Fringe Total w/o medical</t>
  </si>
  <si>
    <t>EPA Fringe total w/o medical</t>
  </si>
  <si>
    <t>Edits by Lou Harrell in yellow for estimating proposals</t>
  </si>
  <si>
    <r>
      <t xml:space="preserve">Take out the Medical </t>
    </r>
    <r>
      <rPr>
        <sz val="9"/>
        <color rgb="FF006600"/>
        <rFont val="Arial"/>
        <family val="2"/>
      </rPr>
      <t>(Flat amount for FY 12-13)</t>
    </r>
  </si>
  <si>
    <r>
      <t xml:space="preserve">Salary </t>
    </r>
    <r>
      <rPr>
        <sz val="9"/>
        <color rgb="FF006600"/>
        <rFont val="Arial"/>
        <family val="2"/>
      </rPr>
      <t>(Available base divided by Fringe total)</t>
    </r>
  </si>
  <si>
    <r>
      <t xml:space="preserve">FICA </t>
    </r>
    <r>
      <rPr>
        <sz val="9"/>
        <color rgb="FF006600"/>
        <rFont val="Arial"/>
        <family val="2"/>
      </rPr>
      <t>(Salary X .0765)</t>
    </r>
  </si>
  <si>
    <r>
      <t xml:space="preserve">SALARY AND FRINGE CALCULATIONS FOR FY 12-13 </t>
    </r>
    <r>
      <rPr>
        <b/>
        <sz val="14"/>
        <color rgb="FFC00000"/>
        <rFont val="Arial"/>
        <family val="2"/>
      </rPr>
      <t>(FOR NON-GENERAL FUNDS)</t>
    </r>
  </si>
  <si>
    <r>
      <t xml:space="preserve">Claims Rate Fringe Benefits </t>
    </r>
    <r>
      <rPr>
        <sz val="9"/>
        <color rgb="FF006600"/>
        <rFont val="Arial"/>
        <family val="2"/>
      </rPr>
      <t>(Salary x .0150 for both SPA &amp; EPA)</t>
    </r>
  </si>
  <si>
    <t>FRINGE RATE for PROPOSAL ESTIMATES</t>
  </si>
  <si>
    <r>
      <t xml:space="preserve">SALARY AND FRINGE CALCULATIONS FOR FY 12-13 </t>
    </r>
    <r>
      <rPr>
        <b/>
        <sz val="14"/>
        <color rgb="FF3301BF"/>
        <rFont val="Arial"/>
        <family val="2"/>
      </rPr>
      <t>(FOR GENERAL FUNDS)</t>
    </r>
  </si>
  <si>
    <t>Updated: 08/22/12</t>
  </si>
  <si>
    <r>
      <t xml:space="preserve">Retirement </t>
    </r>
    <r>
      <rPr>
        <sz val="9"/>
        <color indexed="17"/>
        <rFont val="Arial"/>
        <family val="2"/>
      </rPr>
      <t>(Salary x .1423 for SPA or .1258 for EPA)</t>
    </r>
  </si>
  <si>
    <r>
      <t xml:space="preserve">LEO Retirement </t>
    </r>
    <r>
      <rPr>
        <sz val="9"/>
        <color rgb="FF0000FF"/>
        <rFont val="Arial"/>
        <family val="2"/>
      </rPr>
      <t>(Salary x .1923)</t>
    </r>
  </si>
  <si>
    <t>Updated: 08/22/12 by Hong Vu</t>
  </si>
  <si>
    <r>
      <t xml:space="preserve">SALARY AND FRINGE CALCULATIONS FOR FY 13-14 </t>
    </r>
    <r>
      <rPr>
        <b/>
        <sz val="14"/>
        <color rgb="FF3301BF"/>
        <rFont val="Arial"/>
        <family val="2"/>
      </rPr>
      <t>(FOR GENERAL FUNDS)</t>
    </r>
  </si>
  <si>
    <r>
      <t xml:space="preserve">Take out the Medical </t>
    </r>
    <r>
      <rPr>
        <sz val="9"/>
        <color rgb="FF00B050"/>
        <rFont val="Arial"/>
        <family val="2"/>
      </rPr>
      <t>(Flat amount for FY 13-14)</t>
    </r>
  </si>
  <si>
    <r>
      <t xml:space="preserve">Retirement </t>
    </r>
    <r>
      <rPr>
        <sz val="9"/>
        <color indexed="17"/>
        <rFont val="Arial"/>
        <family val="2"/>
      </rPr>
      <t>(Salary x .1469 for SPA or .1268 for EPA)</t>
    </r>
  </si>
  <si>
    <r>
      <t xml:space="preserve">LEO Retirement </t>
    </r>
    <r>
      <rPr>
        <sz val="9"/>
        <color rgb="FF0000FF"/>
        <rFont val="Arial"/>
        <family val="2"/>
      </rPr>
      <t>(Salary x .1969)</t>
    </r>
  </si>
  <si>
    <t>FY 13-14 BENEFITS RATES</t>
  </si>
  <si>
    <r>
      <t xml:space="preserve">SALARY AND FRINGE CALCULATIONS FOR FY 13-14 </t>
    </r>
    <r>
      <rPr>
        <b/>
        <sz val="14"/>
        <color rgb="FFC00000"/>
        <rFont val="Arial"/>
        <family val="2"/>
      </rPr>
      <t>(FOR NON-GENERAL FUNDS)</t>
    </r>
  </si>
  <si>
    <r>
      <t xml:space="preserve">Take out the Medical </t>
    </r>
    <r>
      <rPr>
        <sz val="9"/>
        <color rgb="FF006600"/>
        <rFont val="Arial"/>
        <family val="2"/>
      </rPr>
      <t>(Flat amount for FY 13-14)</t>
    </r>
  </si>
  <si>
    <r>
      <t xml:space="preserve">LEO Retirement </t>
    </r>
    <r>
      <rPr>
        <sz val="9"/>
        <color indexed="17"/>
        <rFont val="Arial"/>
        <family val="2"/>
      </rPr>
      <t>(Salary x .1969 for both EPA &amp; SPA)</t>
    </r>
  </si>
  <si>
    <t>LEO Fringe Total</t>
  </si>
  <si>
    <t>EPA Fringe Total</t>
  </si>
  <si>
    <t>Claims Rate Fringe Benefits (For EPA/Faculty &amp; SPA Permanent)</t>
  </si>
  <si>
    <t>FY 12-13 BENEFITS RATES (PERMANENT EMPLOYEES)</t>
  </si>
  <si>
    <t>Updated: 07/29/13</t>
  </si>
  <si>
    <r>
      <t xml:space="preserve">Claims Rate Fringe Benefits </t>
    </r>
    <r>
      <rPr>
        <sz val="9"/>
        <color rgb="FF006600"/>
        <rFont val="Arial"/>
        <family val="2"/>
      </rPr>
      <t>(Salary x .0129 for both SPA &amp; EPA)</t>
    </r>
  </si>
  <si>
    <t>Updated: 12/9/13</t>
  </si>
  <si>
    <r>
      <t xml:space="preserve">SALARY AND FRINGE CALCULATIONS FOR FY 14-15 </t>
    </r>
    <r>
      <rPr>
        <b/>
        <sz val="14"/>
        <color rgb="FF3301BF"/>
        <rFont val="Arial"/>
        <family val="2"/>
      </rPr>
      <t>(FOR GENERAL FUNDS)</t>
    </r>
  </si>
  <si>
    <r>
      <t xml:space="preserve">Take out the Medical </t>
    </r>
    <r>
      <rPr>
        <sz val="9"/>
        <color rgb="FF00B050"/>
        <rFont val="Arial"/>
        <family val="2"/>
      </rPr>
      <t>(Flat amount for FY 14-15)</t>
    </r>
  </si>
  <si>
    <t>Updated: 07/02/14</t>
  </si>
  <si>
    <r>
      <t xml:space="preserve">SALARY AND FRINGE CALCULATIONS FOR FY 14-15 </t>
    </r>
    <r>
      <rPr>
        <b/>
        <sz val="14"/>
        <color rgb="FFC00000"/>
        <rFont val="Arial"/>
        <family val="2"/>
      </rPr>
      <t>(FOR NON-GENERAL FUNDS)</t>
    </r>
  </si>
  <si>
    <r>
      <t xml:space="preserve">Take out the Medical </t>
    </r>
    <r>
      <rPr>
        <sz val="9"/>
        <color rgb="FF006600"/>
        <rFont val="Arial"/>
        <family val="2"/>
      </rPr>
      <t>(Flat amount for FY 14-15)</t>
    </r>
  </si>
  <si>
    <t>Updated: 7/2/14</t>
  </si>
  <si>
    <t>FY 14-15 BENEFITS RATES (PERMANENT EMPLOYEES)</t>
  </si>
  <si>
    <r>
      <t xml:space="preserve">Claims Rate Fringe Benefits </t>
    </r>
    <r>
      <rPr>
        <sz val="9"/>
        <color rgb="FF006600"/>
        <rFont val="Arial"/>
        <family val="2"/>
      </rPr>
      <t>(Salary x .0277 for both SPA &amp; EPA)</t>
    </r>
  </si>
  <si>
    <r>
      <t xml:space="preserve">Claims Rate Fringe Benefits </t>
    </r>
    <r>
      <rPr>
        <sz val="9"/>
        <color rgb="FF006600"/>
        <rFont val="Arial"/>
        <family val="2"/>
      </rPr>
      <t>(Salary x.0277 for both SPA &amp; EPA)</t>
    </r>
  </si>
  <si>
    <t>FY 14-15 BENEFITS RATES</t>
  </si>
  <si>
    <t>Employee Class</t>
  </si>
  <si>
    <t>Description</t>
  </si>
  <si>
    <t>Account Code</t>
  </si>
  <si>
    <t>SPA Temp - Hourly</t>
  </si>
  <si>
    <t>SPA Temp - Salaried</t>
  </si>
  <si>
    <t>SPA Misc Payment</t>
  </si>
  <si>
    <t>EPA 9 Month Faculty</t>
  </si>
  <si>
    <t>EPA Phased Retirement</t>
  </si>
  <si>
    <t>EPA 12 Month Faculty</t>
  </si>
  <si>
    <t>EPA Post Doctoral</t>
  </si>
  <si>
    <t>FICA - 919150</t>
  </si>
  <si>
    <t>State Retirement - 919050</t>
  </si>
  <si>
    <t>Optional Retirement - 918000</t>
  </si>
  <si>
    <t>EPA Non Faculty Special Pay</t>
  </si>
  <si>
    <t>Under Grad Students - Misc</t>
  </si>
  <si>
    <t>EPA Faculty Special Pay</t>
  </si>
  <si>
    <t>Federal Work Study Students (75% 590xxx and 25% 119110)</t>
  </si>
  <si>
    <t>SPA Permanent Full-time</t>
  </si>
  <si>
    <t xml:space="preserve">SPA Permanent Part-time </t>
  </si>
  <si>
    <t>&gt; .75</t>
  </si>
  <si>
    <t>&lt; .75</t>
  </si>
  <si>
    <t xml:space="preserve">EPA Permanent Non Faculty Full-Time </t>
  </si>
  <si>
    <t>EPA Permanent Non Faculty Part-Time</t>
  </si>
  <si>
    <t>FTE/Credits</t>
  </si>
  <si>
    <t>3 or more</t>
  </si>
  <si>
    <t>Grad Student - TA (Academic Year)</t>
  </si>
  <si>
    <t>Grad Student - RA (Academic Year)</t>
  </si>
  <si>
    <t>Grad Student - AA (Academic Year)</t>
  </si>
  <si>
    <t>Under Grad Students (Academic Year)</t>
  </si>
  <si>
    <t>6 or more</t>
  </si>
  <si>
    <t>https://research.uncc.edu/departments/grants-contracts-administration/grants-services/hiring-personnel/postdoctoral-fellows</t>
  </si>
  <si>
    <t>Post-Doc:</t>
  </si>
  <si>
    <t>Grad Students:</t>
  </si>
  <si>
    <t>https://studenthealth.uncc.edu/insurance</t>
  </si>
  <si>
    <t>3 min</t>
  </si>
  <si>
    <t>various</t>
  </si>
  <si>
    <t>Various</t>
  </si>
  <si>
    <r>
      <t xml:space="preserve">All Grad and Undergrad students - </t>
    </r>
    <r>
      <rPr>
        <b/>
        <sz val="8"/>
        <color rgb="FFFF0000"/>
        <rFont val="Arial"/>
        <family val="2"/>
      </rPr>
      <t>SUMMER</t>
    </r>
  </si>
  <si>
    <t>Exempt</t>
  </si>
  <si>
    <r>
      <t xml:space="preserve">Retirement </t>
    </r>
    <r>
      <rPr>
        <sz val="9"/>
        <color indexed="17"/>
        <rFont val="Arial"/>
        <family val="2"/>
      </rPr>
      <t>(Salary x .1521 for SPA or .1274 for EPA)</t>
    </r>
  </si>
  <si>
    <r>
      <t xml:space="preserve">LEO Retirement </t>
    </r>
    <r>
      <rPr>
        <sz val="9"/>
        <color indexed="17"/>
        <rFont val="Arial"/>
        <family val="2"/>
      </rPr>
      <t>(Salary x .2021 for both EPA &amp; SPA)</t>
    </r>
  </si>
  <si>
    <r>
      <t xml:space="preserve">LEO Retirement </t>
    </r>
    <r>
      <rPr>
        <sz val="9"/>
        <color rgb="FF0000FF"/>
        <rFont val="Arial"/>
        <family val="2"/>
      </rPr>
      <t>(Salary x .2021)</t>
    </r>
  </si>
  <si>
    <t>GENERAL FUNDS</t>
  </si>
  <si>
    <t>NON GENERAL FUNDS</t>
  </si>
  <si>
    <r>
      <t xml:space="preserve">Take out the Medical </t>
    </r>
    <r>
      <rPr>
        <sz val="9"/>
        <color rgb="FF00B050"/>
        <rFont val="Arial"/>
        <family val="2"/>
      </rPr>
      <t>(Flat amount for FY 15-16)</t>
    </r>
  </si>
  <si>
    <r>
      <t xml:space="preserve">SALARY AND FRINGE CALCULATIONS FOR FY 15-16 </t>
    </r>
    <r>
      <rPr>
        <b/>
        <sz val="14"/>
        <color rgb="FFC00000"/>
        <rFont val="Arial"/>
        <family val="2"/>
      </rPr>
      <t>(FOR NON-GENERAL FUNDS)</t>
    </r>
  </si>
  <si>
    <r>
      <t xml:space="preserve">Take out the Medical </t>
    </r>
    <r>
      <rPr>
        <sz val="9"/>
        <color rgb="FF006600"/>
        <rFont val="Arial"/>
        <family val="2"/>
      </rPr>
      <t>(Flat amount for FY 15-16)</t>
    </r>
  </si>
  <si>
    <t>SPA Fringe Total (w/o medical)</t>
  </si>
  <si>
    <t>EPA Fringe Total (w/o medical)</t>
  </si>
  <si>
    <t>LEO Fringe Total (w/o medical)</t>
  </si>
  <si>
    <r>
      <t xml:space="preserve">Claims Rate Fringe Benefits </t>
    </r>
    <r>
      <rPr>
        <sz val="9"/>
        <color rgb="FF006600"/>
        <rFont val="Arial"/>
        <family val="2"/>
      </rPr>
      <t>(Salary x .0395 for both SPA &amp; EPA)</t>
    </r>
  </si>
  <si>
    <t>FY 15-16 Medical - 917000</t>
  </si>
  <si>
    <t>321.27/mo</t>
  </si>
  <si>
    <t>Main fund</t>
  </si>
  <si>
    <t>Fund 1</t>
  </si>
  <si>
    <t>Fund 2</t>
  </si>
  <si>
    <t>Fund 3</t>
  </si>
  <si>
    <t>Fund 4</t>
  </si>
  <si>
    <r>
      <t xml:space="preserve">SALARY AND FRINGE CALCULATIONS FOR FY 15-16 </t>
    </r>
    <r>
      <rPr>
        <b/>
        <sz val="14"/>
        <color rgb="FF3301BF"/>
        <rFont val="Arial"/>
        <family val="2"/>
      </rPr>
      <t>(FOR GENERAL FUNDS)</t>
    </r>
  </si>
  <si>
    <t>FY 15-16 BENEFITS RATES (PERMANENT EMPLOYEES)</t>
  </si>
  <si>
    <t>EPA Temp Non-Teaching Salaries</t>
  </si>
  <si>
    <t>EPA Temp Teaching Faculty</t>
  </si>
  <si>
    <t>Yes</t>
  </si>
  <si>
    <t>Fringe Budget Required on BD607</t>
  </si>
  <si>
    <t>No</t>
  </si>
  <si>
    <t>102 and 103 GENERAL FUNDS</t>
  </si>
  <si>
    <t xml:space="preserve">FY 15-16 Claims Made </t>
  </si>
  <si>
    <t>from</t>
  </si>
  <si>
    <t xml:space="preserve">to </t>
  </si>
  <si>
    <t>State Retirement</t>
  </si>
  <si>
    <t>LEOs</t>
  </si>
  <si>
    <t>ORP</t>
  </si>
  <si>
    <r>
      <t xml:space="preserve">Retirement </t>
    </r>
    <r>
      <rPr>
        <sz val="9"/>
        <color indexed="17"/>
        <rFont val="Arial"/>
        <family val="2"/>
      </rPr>
      <t>(Salary x .1532 for SPA or .1285 for EPA)</t>
    </r>
  </si>
  <si>
    <r>
      <t xml:space="preserve">LEO Retirement </t>
    </r>
    <r>
      <rPr>
        <sz val="9"/>
        <color indexed="17"/>
        <rFont val="Arial"/>
        <family val="2"/>
      </rPr>
      <t>(Salary x .2032 for both EPA &amp; SPA)</t>
    </r>
  </si>
  <si>
    <t>Updated: 9/18/15</t>
  </si>
  <si>
    <t>Changes from previous version</t>
  </si>
  <si>
    <t>Change decrease</t>
  </si>
  <si>
    <r>
      <t xml:space="preserve">Take out the Medical </t>
    </r>
    <r>
      <rPr>
        <sz val="9"/>
        <color rgb="FF00B050"/>
        <rFont val="Arial"/>
        <family val="2"/>
      </rPr>
      <t>(Flat amount for FY 16-17)</t>
    </r>
  </si>
  <si>
    <t>FY 16-17 BENEFITS RATES (PERMANENT EMPLOYEES)</t>
  </si>
  <si>
    <r>
      <t xml:space="preserve">Take out the Medical </t>
    </r>
    <r>
      <rPr>
        <sz val="9"/>
        <color rgb="FF006600"/>
        <rFont val="Arial"/>
        <family val="2"/>
      </rPr>
      <t>(Flat amount for FY 16-17)</t>
    </r>
  </si>
  <si>
    <r>
      <t xml:space="preserve">SALARY AND FRINGE CALCULATIONS FOR FY 16-17 </t>
    </r>
    <r>
      <rPr>
        <b/>
        <sz val="14"/>
        <color rgb="FF3301BF"/>
        <rFont val="Arial"/>
        <family val="2"/>
      </rPr>
      <t>(FOR GENERAL FUNDS)</t>
    </r>
  </si>
  <si>
    <r>
      <t xml:space="preserve">SALARY AND FRINGE CALCULATIONS FOR FY 16-17 </t>
    </r>
    <r>
      <rPr>
        <b/>
        <sz val="14"/>
        <color rgb="FFC00000"/>
        <rFont val="Arial"/>
        <family val="2"/>
      </rPr>
      <t>(FOR NON-GENERAL FUNDS)</t>
    </r>
  </si>
  <si>
    <t>n/a</t>
  </si>
  <si>
    <t>Fringe Benefits must be paid from the same source as the salary</t>
  </si>
  <si>
    <t>http://www.ncga.state.nc.us/EnactedLegislation/Statutes/PDF/BySection/Chapter_143C/GS_143C-6-6.pdf</t>
  </si>
  <si>
    <t>SHRA</t>
  </si>
  <si>
    <t>SHRA Fringe Total (w/o medical)</t>
  </si>
  <si>
    <t>EHRA</t>
  </si>
  <si>
    <t>EHRA Fringe Total (w/o medical)</t>
  </si>
  <si>
    <t>SHRA Fringe Total w/o medical</t>
  </si>
  <si>
    <t>Claims Rate Fringe Benefits (Salary x .0520 for both SHRA &amp; EHRA)</t>
  </si>
  <si>
    <t>Claims Rate Fringe Benefits (For EHRA/Faculty &amp; SHRA Permanent)</t>
  </si>
  <si>
    <t>EHRA Fringe total w/o medical</t>
  </si>
  <si>
    <t>SHRA Permanent Full-time</t>
  </si>
  <si>
    <t xml:space="preserve">SHRA Permanent Part-time </t>
  </si>
  <si>
    <t>SHRA Temp - Hourly</t>
  </si>
  <si>
    <t>SHRA Temp - Salaried</t>
  </si>
  <si>
    <t>SHRA Misc Payment</t>
  </si>
  <si>
    <t xml:space="preserve">EHRA Permanent Non Faculty Full-Time </t>
  </si>
  <si>
    <t>EHRA Permanent Non Faculty Part-Time</t>
  </si>
  <si>
    <t>EHRA 9 Month Faculty</t>
  </si>
  <si>
    <t>EHRA Phased Retirement</t>
  </si>
  <si>
    <t>EHRA 12 Month Faculty</t>
  </si>
  <si>
    <t>EHRA Post Doctoral</t>
  </si>
  <si>
    <t>EHRA Temp Non-Teaching Salaries</t>
  </si>
  <si>
    <t>EHRA Non Faculty Special Pay</t>
  </si>
  <si>
    <t>EHRA Faculty Special Pay</t>
  </si>
  <si>
    <t>EHRA Temp Teaching Faculty</t>
  </si>
  <si>
    <t>https://research.uncc.edu/dEHRArtments/grants-contracts-administration/grants-services/hiring-personnel/postdoctoral-fellows</t>
  </si>
  <si>
    <t>Retirement (Salary x .1633 for SHRA or .1303 for EHRA)</t>
  </si>
  <si>
    <t>LEO Retirement (Salary x .2133 for both EHRA &amp; SHRA)</t>
  </si>
  <si>
    <t xml:space="preserve">Medical Insurance </t>
  </si>
  <si>
    <t>Updated: 11/21/16</t>
  </si>
  <si>
    <t xml:space="preserve">Federal Work Study Students </t>
  </si>
  <si>
    <t>SHRA Permanent Full-time (Law Enforcement Officers - LEO)</t>
  </si>
  <si>
    <t>EHRA Permanent Non Faculty Full-Time (LEO)</t>
  </si>
  <si>
    <t>Student Non-Employment</t>
  </si>
  <si>
    <t>LEO Retirement - 919100</t>
  </si>
  <si>
    <t>FY 17-18 Medical - 917xxx</t>
  </si>
  <si>
    <t>Changes in NC Benefit Rates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</si>
  <si>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</si>
  <si>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</si>
  <si>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</si>
  <si>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</si>
  <si>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</si>
  <si>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</si>
  <si>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</si>
  <si>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</si>
  <si>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</si>
  <si>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</si>
  <si>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</si>
  <si>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</si>
  <si>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</si>
  <si>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</si>
  <si>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</si>
  <si>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 xml:space="preserve">2012-13 </t>
  </si>
  <si>
    <t>2013-14</t>
  </si>
  <si>
    <t>2014-15</t>
  </si>
  <si>
    <t>2015-16</t>
  </si>
  <si>
    <t>2016-17
7/1/16-12/31/16</t>
  </si>
  <si>
    <t>2016-17
1/1/17-6/30/17</t>
  </si>
  <si>
    <t>2017-18</t>
  </si>
  <si>
    <t>2018-19</t>
  </si>
  <si>
    <t>S.L. 2016-94</t>
  </si>
  <si>
    <t>S.L. 2017-57</t>
  </si>
  <si>
    <t>S.L. 2018-5</t>
  </si>
  <si>
    <t>Effective date</t>
  </si>
  <si>
    <t>7/1/99</t>
  </si>
  <si>
    <t>7/1/00</t>
  </si>
  <si>
    <t>7/1/01</t>
  </si>
  <si>
    <t>Eff. 10/1/99; FY 00 annual amt is $2,126</t>
  </si>
  <si>
    <t>Eff. 7/1/00</t>
  </si>
  <si>
    <t>10/1/01;
FY 02 annual amt is $2,764</t>
  </si>
  <si>
    <t>10/1/03
FY 04 annual amt is $3,307</t>
  </si>
  <si>
    <t>10/1/05
FY 06 annual amt is $3,669</t>
  </si>
  <si>
    <t>10/1/07
FY 08 annual amt is $x,xxx</t>
  </si>
  <si>
    <t>Average salary</t>
  </si>
  <si>
    <t>Calculate medical pct</t>
  </si>
  <si>
    <t>Use weighted average of $4,080 for internal budgeting purposes</t>
  </si>
  <si>
    <t>Average retirement</t>
  </si>
  <si>
    <t>Average benefits</t>
  </si>
  <si>
    <t>Optional Retirement Plan</t>
  </si>
  <si>
    <t>J:\GENERAL\FY08\Medical rate for budgeting purposes 08.xls</t>
  </si>
  <si>
    <t>Fringe Budget Required on FTR</t>
  </si>
  <si>
    <t>Employee Types</t>
  </si>
  <si>
    <t>Permanent</t>
  </si>
  <si>
    <t>Temporary</t>
  </si>
  <si>
    <t>BR types</t>
  </si>
  <si>
    <t>x</t>
  </si>
  <si>
    <t>FY 19-20 Medical - 917000</t>
  </si>
  <si>
    <t>2019-20</t>
  </si>
  <si>
    <r>
      <t xml:space="preserve">Take out the Medical </t>
    </r>
    <r>
      <rPr>
        <sz val="9"/>
        <color rgb="FF00B050"/>
        <rFont val="Arial"/>
        <family val="2"/>
      </rPr>
      <t>(Flat amount for FY 19-20)</t>
    </r>
  </si>
  <si>
    <t>FY 20-21</t>
  </si>
  <si>
    <r>
      <t xml:space="preserve">SALARY AND FRINGE CALCULATIONS FOR FY20-21 </t>
    </r>
    <r>
      <rPr>
        <b/>
        <sz val="14"/>
        <color rgb="FF3301BF"/>
        <rFont val="Arial"/>
        <family val="2"/>
      </rPr>
      <t>(FOR GENERAL FUNDS)</t>
    </r>
  </si>
  <si>
    <t>SHRA Permanent Full-time (LEOs)</t>
  </si>
  <si>
    <r>
      <t xml:space="preserve">Take out the Medical </t>
    </r>
    <r>
      <rPr>
        <sz val="9"/>
        <color rgb="FF006600"/>
        <rFont val="Arial"/>
        <family val="2"/>
      </rPr>
      <t>(Flat amount for FY 20-21)</t>
    </r>
  </si>
  <si>
    <t>2020-21</t>
  </si>
  <si>
    <t>FY 20-21 BENEFITS RATES (PERMANENT EMPLOYEES)</t>
  </si>
  <si>
    <t>TSERS</t>
  </si>
  <si>
    <t>911100 and 913100</t>
  </si>
  <si>
    <t>LEOS</t>
  </si>
  <si>
    <t>911090 and 912090</t>
  </si>
  <si>
    <t>Account Codes</t>
  </si>
  <si>
    <t>Types</t>
  </si>
  <si>
    <t>Rates/Amounts</t>
  </si>
  <si>
    <t>Claims Rate Fringe Benefits (Salary x .00503 for both SHRA &amp; EHRA)</t>
  </si>
  <si>
    <t>Retirement (Salary x .2168 for SHRA or .1361 for EHRA)</t>
  </si>
  <si>
    <t>LEO Retirement (Salary x .2668 for both EHRA &amp; SHRA)</t>
  </si>
  <si>
    <t>S.L. 2020-45</t>
  </si>
  <si>
    <r>
      <t xml:space="preserve">SALARY AND FRINGE CALCULATIONS FOR FY 20-21 </t>
    </r>
    <r>
      <rPr>
        <b/>
        <sz val="14"/>
        <color rgb="FFC00000"/>
        <rFont val="Arial"/>
        <family val="2"/>
      </rPr>
      <t>(NON-GENERAL FUNDS)</t>
    </r>
  </si>
  <si>
    <t>Updated:  03/04/21</t>
  </si>
  <si>
    <r>
      <t>If you have the total available Budget</t>
    </r>
    <r>
      <rPr>
        <sz val="9"/>
        <color indexed="10"/>
        <rFont val="Arial"/>
        <family val="2"/>
      </rPr>
      <t xml:space="preserve"> (enter amount here)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============&gt;</t>
    </r>
  </si>
  <si>
    <r>
      <t>If you know the salary</t>
    </r>
    <r>
      <rPr>
        <sz val="9"/>
        <color indexed="10"/>
        <rFont val="Arial"/>
        <family val="2"/>
      </rPr>
      <t xml:space="preserve"> (enter amount here)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====================&gt;</t>
    </r>
  </si>
  <si>
    <r>
      <t xml:space="preserve">SALARY AND FRINGE CALCULATIONS FOR FY 21-22 </t>
    </r>
    <r>
      <rPr>
        <b/>
        <sz val="14"/>
        <color rgb="FF3301BF"/>
        <rFont val="Arial"/>
        <family val="2"/>
      </rPr>
      <t>(FOR GENERAL FUNDS)</t>
    </r>
  </si>
  <si>
    <r>
      <t xml:space="preserve">SALARY AND FRINGE CALCULATIONS FOR FY 21-22 </t>
    </r>
    <r>
      <rPr>
        <b/>
        <sz val="14"/>
        <color rgb="FFC00000"/>
        <rFont val="Arial"/>
        <family val="2"/>
      </rPr>
      <t>(NON-GENERAL FUNDS)</t>
    </r>
  </si>
  <si>
    <t>2021-22</t>
  </si>
  <si>
    <r>
      <t xml:space="preserve">Take out the Medical </t>
    </r>
    <r>
      <rPr>
        <sz val="9"/>
        <color rgb="FF006600"/>
        <rFont val="Arial"/>
        <family val="2"/>
      </rPr>
      <t>(Flat amount for FY 21-22)</t>
    </r>
  </si>
  <si>
    <t>FY 21-22 BENEFITS RATES (PERMANENT EMPLOYEES)</t>
  </si>
  <si>
    <t>Claims Rate Fringe Benefits (Salary x .00489 for both SHRA &amp; EHRA)</t>
  </si>
  <si>
    <r>
      <t>If you know the salary</t>
    </r>
    <r>
      <rPr>
        <sz val="9"/>
        <color indexed="10"/>
        <rFont val="Arial"/>
        <family val="2"/>
      </rPr>
      <t xml:space="preserve"> (enter amount here)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================&gt;</t>
    </r>
  </si>
  <si>
    <r>
      <t>If you have the total available Budget</t>
    </r>
    <r>
      <rPr>
        <sz val="9"/>
        <color indexed="10"/>
        <rFont val="Arial"/>
        <family val="2"/>
      </rPr>
      <t xml:space="preserve"> (enter amount here)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=========&gt;</t>
    </r>
  </si>
  <si>
    <t>LEO Retirement (Salary x .2789 for both EHRA &amp; SHRA)</t>
  </si>
  <si>
    <t>Updated:  11/30/21</t>
  </si>
  <si>
    <r>
      <t xml:space="preserve">Take out the Medical </t>
    </r>
    <r>
      <rPr>
        <sz val="9"/>
        <color rgb="FF00B050"/>
        <rFont val="Arial"/>
        <family val="2"/>
      </rPr>
      <t>(Flat amount for FY 20-21)</t>
    </r>
  </si>
  <si>
    <t>S.L 2021-180</t>
  </si>
  <si>
    <t>Retirement (Salary x .2289 for SHRA or .1322 for EHRA)</t>
  </si>
  <si>
    <t>Medical - 917000</t>
  </si>
  <si>
    <r>
      <t xml:space="preserve">SALARY AND FRINGE CALCULATIONS FOR FY 22-23 </t>
    </r>
    <r>
      <rPr>
        <b/>
        <sz val="14"/>
        <color rgb="FF3301BF"/>
        <rFont val="Arial"/>
        <family val="2"/>
      </rPr>
      <t>(FOR GENERAL FUNDS)</t>
    </r>
  </si>
  <si>
    <t>FY 22-23 BENEFITS RATES (PERMANENT EMPLOYEES)</t>
  </si>
  <si>
    <r>
      <t xml:space="preserve">Take out the Medical </t>
    </r>
    <r>
      <rPr>
        <sz val="9"/>
        <color rgb="FF006600"/>
        <rFont val="Arial"/>
        <family val="2"/>
      </rPr>
      <t>(Flat amount for FY 22-23)</t>
    </r>
  </si>
  <si>
    <r>
      <t xml:space="preserve">SALARY AND FRINGE CALCULATIONS FOR FY 22-23 </t>
    </r>
    <r>
      <rPr>
        <b/>
        <sz val="14"/>
        <color rgb="FFC00000"/>
        <rFont val="Arial"/>
        <family val="2"/>
      </rPr>
      <t>(NON-GENERAL FUNDS)</t>
    </r>
  </si>
  <si>
    <t>Claims Rate Fringe Benefits (Salary x .00227 for both SHRA &amp; EHRA)</t>
  </si>
  <si>
    <r>
      <t>State retirement</t>
    </r>
    <r>
      <rPr>
        <sz val="9"/>
        <rFont val="Arial"/>
        <family val="2"/>
      </rPr>
      <t xml:space="preserve"> (919050)</t>
    </r>
  </si>
  <si>
    <r>
      <t>Optional retirement</t>
    </r>
    <r>
      <rPr>
        <sz val="9"/>
        <rFont val="Arial"/>
        <family val="2"/>
      </rPr>
      <t xml:space="preserve"> (918000)</t>
    </r>
  </si>
  <si>
    <r>
      <t>Law officers' retirement</t>
    </r>
    <r>
      <rPr>
        <sz val="9"/>
        <rFont val="Arial"/>
        <family val="2"/>
      </rPr>
      <t xml:space="preserve"> (919000)</t>
    </r>
  </si>
  <si>
    <t>Medical insurance (917000)</t>
  </si>
  <si>
    <t>2022-23</t>
  </si>
  <si>
    <t>Updated:  7/12/2022</t>
  </si>
  <si>
    <t>S.L. 2022-74</t>
  </si>
  <si>
    <t>Retirement (Salary x .2450 for SHRA or .1383 for EHRA)</t>
  </si>
  <si>
    <t>LEO Retirement (Salary x .2950 for both EHRA &amp; SHRA)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</si>
</sst>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00%"/>
    <numFmt numFmtId="166" formatCode="0.0%"/>
    <numFmt numFmtId="167" formatCode="mm/dd/yy;@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sz val="9"/>
      <color indexed="10"/>
      <name val="Arial"/>
      <family val="2"/>
    </font>
    <font>
      <sz val="9"/>
      <color indexed="17"/>
      <name val="Arial"/>
      <family val="2"/>
    </font>
    <font>
      <b/>
      <sz val="14"/>
      <name val="Arial"/>
      <family val="2"/>
    </font>
    <font>
      <sz val="9"/>
      <color rgb="FF00B050"/>
      <name val="Arial"/>
      <family val="2"/>
    </font>
    <font>
      <sz val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9"/>
      <color rgb="FF0000FF"/>
      <name val="Arial"/>
      <family val="2"/>
    </font>
    <font>
      <sz val="9"/>
      <color rgb="FF006600"/>
      <name val="Arial"/>
      <family val="2"/>
    </font>
    <font>
      <b/>
      <sz val="14"/>
      <color rgb="FFC00000"/>
      <name val="Arial"/>
      <family val="2"/>
    </font>
    <font>
      <b/>
      <sz val="14"/>
      <color rgb="FF3301BF"/>
      <name val="Arial"/>
      <family val="2"/>
    </font>
    <font>
      <sz val="8"/>
      <name val="Arial"/>
      <family val="2"/>
    </font>
    <font>
      <sz val="8"/>
      <name val="Wingdings 2"/>
      <family val="1"/>
      <charset val="2"/>
    </font>
    <font>
      <b/>
      <sz val="8"/>
      <color rgb="FFFF0000"/>
      <name val="Arial"/>
      <family val="2"/>
    </font>
    <font>
      <b/>
      <sz val="11"/>
      <name val="Arial"/>
      <family val="2"/>
    </font>
    <font>
      <b/>
      <u/>
      <sz val="10"/>
      <color rgb="FF3301BF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color indexed="23"/>
      <name val="Arial"/>
      <family val="2"/>
    </font>
    <font>
      <sz val="7"/>
      <color indexed="23"/>
      <name val="Arial"/>
      <family val="2"/>
    </font>
    <font>
      <u/>
      <sz val="8.5"/>
      <color indexed="12"/>
      <name val="Arial"/>
      <family val="2"/>
    </font>
    <font>
      <sz val="8"/>
      <color indexed="81"/>
      <name val="Tahoma"/>
      <family val="2"/>
    </font>
    <font>
      <b/>
      <sz val="8"/>
      <name val="Arial"/>
      <family val="2"/>
    </font>
    <font>
      <b/>
      <u/>
      <sz val="12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797">
    <xf numFmtId="0" fontId="0" fillId="0" borderId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8" borderId="0" applyNumberFormat="0" applyBorder="0" applyAlignment="0" applyProtection="0"/>
    <xf numFmtId="0" fontId="29" fillId="9" borderId="12" applyNumberFormat="0" applyAlignment="0" applyProtection="0"/>
    <xf numFmtId="0" fontId="30" fillId="10" borderId="13" applyNumberFormat="0" applyAlignment="0" applyProtection="0"/>
    <xf numFmtId="0" fontId="31" fillId="10" borderId="12" applyNumberFormat="0" applyAlignment="0" applyProtection="0"/>
    <xf numFmtId="0" fontId="32" fillId="0" borderId="14" applyNumberFormat="0" applyFill="0" applyAlignment="0" applyProtection="0"/>
    <xf numFmtId="0" fontId="33" fillId="11" borderId="15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7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7" fillId="36" borderId="0" applyNumberFormat="0" applyBorder="0" applyAlignment="0" applyProtection="0"/>
    <xf numFmtId="0" fontId="4" fillId="12" borderId="16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" fillId="12" borderId="16" applyNumberFormat="0" applyFont="0" applyAlignment="0" applyProtection="0"/>
    <xf numFmtId="0" fontId="4" fillId="12" borderId="16" applyNumberFormat="0" applyFont="0" applyAlignment="0" applyProtection="0"/>
    <xf numFmtId="0" fontId="38" fillId="0" borderId="0"/>
    <xf numFmtId="0" fontId="4" fillId="12" borderId="16" applyNumberFormat="0" applyFont="0" applyAlignment="0" applyProtection="0"/>
    <xf numFmtId="0" fontId="4" fillId="15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15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19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1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18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" fillId="12" borderId="16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2" borderId="16" applyNumberFormat="0" applyFont="0" applyAlignment="0" applyProtection="0"/>
    <xf numFmtId="0" fontId="38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" fillId="0" borderId="0"/>
    <xf numFmtId="0" fontId="4" fillId="12" borderId="16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8" fillId="0" borderId="0"/>
    <xf numFmtId="0" fontId="38" fillId="0" borderId="0"/>
    <xf numFmtId="0" fontId="3" fillId="30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2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27" borderId="0" applyNumberFormat="0" applyBorder="0" applyAlignment="0" applyProtection="0"/>
    <xf numFmtId="0" fontId="3" fillId="12" borderId="16" applyNumberFormat="0" applyFont="0" applyAlignment="0" applyProtection="0"/>
    <xf numFmtId="0" fontId="3" fillId="18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8" borderId="0" applyNumberFormat="0" applyBorder="0" applyAlignment="0" applyProtection="0"/>
    <xf numFmtId="0" fontId="38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16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2" borderId="16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2" borderId="16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26" borderId="0" applyNumberFormat="0" applyBorder="0" applyAlignment="0" applyProtection="0"/>
    <xf numFmtId="0" fontId="3" fillId="12" borderId="16" applyNumberFormat="0" applyFont="0" applyAlignment="0" applyProtection="0"/>
    <xf numFmtId="0" fontId="3" fillId="15" borderId="0" applyNumberFormat="0" applyBorder="0" applyAlignment="0" applyProtection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2" borderId="16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2" borderId="16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6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2" borderId="16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2" borderId="16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6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51" fillId="0" borderId="0"/>
    <xf numFmtId="0" fontId="38" fillId="0" borderId="0"/>
    <xf numFmtId="0" fontId="38" fillId="0" borderId="0"/>
    <xf numFmtId="0" fontId="2" fillId="0" borderId="0"/>
    <xf numFmtId="0" fontId="2" fillId="12" borderId="16" applyNumberFormat="0" applyFont="0" applyAlignment="0" applyProtection="0"/>
    <xf numFmtId="0" fontId="2" fillId="12" borderId="16" applyNumberFormat="0" applyFont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9" fontId="38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6" applyNumberFormat="0" applyFont="0" applyAlignment="0" applyProtection="0"/>
    <xf numFmtId="0" fontId="1" fillId="12" borderId="16" applyNumberFormat="0" applyFont="0" applyAlignment="0" applyProtection="0"/>
    <xf numFmtId="0" fontId="1" fillId="12" borderId="16" applyNumberFormat="0" applyFont="0" applyAlignment="0" applyProtection="0"/>
    <xf numFmtId="0" fontId="1" fillId="12" borderId="16" applyNumberFormat="0" applyFont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6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6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12" borderId="16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12" borderId="16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16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16" applyNumberFormat="0" applyFont="0" applyAlignment="0" applyProtection="0"/>
    <xf numFmtId="0" fontId="1" fillId="12" borderId="16" applyNumberFormat="0" applyFont="0" applyAlignment="0" applyProtection="0"/>
    <xf numFmtId="0" fontId="1" fillId="12" borderId="16" applyNumberFormat="0" applyFont="0" applyAlignment="0" applyProtection="0"/>
    <xf numFmtId="0" fontId="1" fillId="12" borderId="16" applyNumberFormat="0" applyFont="0" applyAlignment="0" applyProtection="0"/>
    <xf numFmtId="0" fontId="1" fillId="12" borderId="16" applyNumberFormat="0" applyFont="0" applyAlignment="0" applyProtection="0"/>
    <xf numFmtId="0" fontId="1" fillId="12" borderId="16" applyNumberFormat="0" applyFont="0" applyAlignment="0" applyProtection="0"/>
    <xf numFmtId="0" fontId="1" fillId="12" borderId="16" applyNumberFormat="0" applyFont="0" applyAlignment="0" applyProtection="0"/>
    <xf numFmtId="0" fontId="1" fillId="12" borderId="16" applyNumberFormat="0" applyFont="0" applyAlignment="0" applyProtection="0"/>
    <xf numFmtId="0" fontId="1" fillId="12" borderId="16" applyNumberFormat="0" applyFont="0" applyAlignment="0" applyProtection="0"/>
    <xf numFmtId="0" fontId="1" fillId="12" borderId="16" applyNumberFormat="0" applyFont="0" applyAlignment="0" applyProtection="0"/>
    <xf numFmtId="0" fontId="1" fillId="12" borderId="16" applyNumberFormat="0" applyFont="0" applyAlignment="0" applyProtection="0"/>
    <xf numFmtId="0" fontId="1" fillId="12" borderId="16" applyNumberFormat="0" applyFont="0" applyAlignment="0" applyProtection="0"/>
    <xf numFmtId="0" fontId="1" fillId="12" borderId="16" applyNumberFormat="0" applyFont="0" applyAlignment="0" applyProtection="0"/>
    <xf numFmtId="0" fontId="1" fillId="12" borderId="16" applyNumberFormat="0" applyFont="0" applyAlignment="0" applyProtection="0"/>
    <xf numFmtId="0" fontId="1" fillId="12" borderId="16" applyNumberFormat="0" applyFont="0" applyAlignment="0" applyProtection="0"/>
    <xf numFmtId="0" fontId="1" fillId="12" borderId="16" applyNumberFormat="0" applyFont="0" applyAlignment="0" applyProtection="0"/>
    <xf numFmtId="0" fontId="1" fillId="12" borderId="16" applyNumberFormat="0" applyFont="0" applyAlignment="0" applyProtection="0"/>
    <xf numFmtId="0" fontId="1" fillId="12" borderId="16" applyNumberFormat="0" applyFont="0" applyAlignment="0" applyProtection="0"/>
    <xf numFmtId="0" fontId="1" fillId="12" borderId="16" applyNumberFormat="0" applyFont="0" applyAlignment="0" applyProtection="0"/>
    <xf numFmtId="0" fontId="1" fillId="12" borderId="16" applyNumberFormat="0" applyFont="0" applyAlignment="0" applyProtection="0"/>
    <xf numFmtId="0" fontId="1" fillId="12" borderId="16" applyNumberFormat="0" applyFont="0" applyAlignment="0" applyProtection="0"/>
    <xf numFmtId="0" fontId="1" fillId="0" borderId="0"/>
    <xf numFmtId="43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3" fillId="0" borderId="0"/>
    <xf numFmtId="0" fontId="57" fillId="0" borderId="0" applyNumberFormat="0" applyFill="0" applyBorder="0" applyAlignment="0" applyProtection="0">
      <alignment vertical="top"/>
      <protection locked="0"/>
    </xf>
  </cellStyleXfs>
  <cellXfs count="387">
    <xf numFmtId="0" fontId="0" fillId="0" borderId="0" xfId="0"/>
    <xf numFmtId="0" fontId="5" fillId="0" borderId="0" xfId="0" applyFont="1"/>
    <xf numFmtId="0" fontId="0" fillId="0" borderId="1" xfId="0" applyBorder="1"/>
    <xf numFmtId="3" fontId="0" fillId="0" borderId="1" xfId="0" applyNumberFormat="1" applyBorder="1"/>
    <xf numFmtId="3" fontId="5" fillId="0" borderId="0" xfId="0" applyNumberFormat="1" applyFon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3" fontId="0" fillId="0" borderId="0" xfId="0" applyNumberFormat="1" applyBorder="1"/>
    <xf numFmtId="3" fontId="5" fillId="0" borderId="0" xfId="0" applyNumberFormat="1" applyFont="1" applyBorder="1"/>
    <xf numFmtId="0" fontId="0" fillId="0" borderId="6" xfId="0" applyBorder="1"/>
    <xf numFmtId="3" fontId="0" fillId="0" borderId="3" xfId="0" applyNumberFormat="1" applyBorder="1"/>
    <xf numFmtId="3" fontId="5" fillId="0" borderId="3" xfId="0" applyNumberFormat="1" applyFont="1" applyBorder="1"/>
    <xf numFmtId="3" fontId="0" fillId="0" borderId="5" xfId="0" applyNumberForma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0" xfId="0" applyFont="1"/>
    <xf numFmtId="0" fontId="8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8" fillId="2" borderId="2" xfId="0" applyFont="1" applyFill="1" applyBorder="1"/>
    <xf numFmtId="0" fontId="0" fillId="2" borderId="0" xfId="0" applyFill="1" applyBorder="1"/>
    <xf numFmtId="0" fontId="0" fillId="2" borderId="3" xfId="0" applyFill="1" applyBorder="1"/>
    <xf numFmtId="0" fontId="7" fillId="2" borderId="2" xfId="0" applyFont="1" applyFill="1" applyBorder="1"/>
    <xf numFmtId="0" fontId="7" fillId="2" borderId="0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2" xfId="0" applyFill="1" applyBorder="1"/>
    <xf numFmtId="42" fontId="0" fillId="2" borderId="3" xfId="0" applyNumberFormat="1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5" xfId="0" applyFill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6" xfId="0" applyFont="1" applyBorder="1"/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4" fillId="0" borderId="2" xfId="0" applyFont="1" applyBorder="1"/>
    <xf numFmtId="3" fontId="14" fillId="0" borderId="0" xfId="0" applyNumberFormat="1" applyFont="1" applyBorder="1"/>
    <xf numFmtId="3" fontId="14" fillId="0" borderId="3" xfId="0" applyNumberFormat="1" applyFont="1" applyBorder="1"/>
    <xf numFmtId="3" fontId="15" fillId="0" borderId="0" xfId="0" applyNumberFormat="1" applyFont="1" applyBorder="1"/>
    <xf numFmtId="3" fontId="15" fillId="0" borderId="3" xfId="0" applyNumberFormat="1" applyFont="1" applyBorder="1"/>
    <xf numFmtId="0" fontId="14" fillId="0" borderId="0" xfId="0" applyFont="1" applyBorder="1"/>
    <xf numFmtId="0" fontId="14" fillId="0" borderId="3" xfId="0" applyFont="1" applyBorder="1"/>
    <xf numFmtId="0" fontId="14" fillId="0" borderId="4" xfId="0" applyFont="1" applyBorder="1"/>
    <xf numFmtId="3" fontId="14" fillId="0" borderId="1" xfId="0" applyNumberFormat="1" applyFont="1" applyBorder="1"/>
    <xf numFmtId="3" fontId="14" fillId="0" borderId="5" xfId="0" applyNumberFormat="1" applyFont="1" applyBorder="1"/>
    <xf numFmtId="0" fontId="14" fillId="0" borderId="1" xfId="0" applyFont="1" applyBorder="1"/>
    <xf numFmtId="0" fontId="14" fillId="0" borderId="5" xfId="0" applyFont="1" applyBorder="1"/>
    <xf numFmtId="3" fontId="15" fillId="0" borderId="0" xfId="0" applyNumberFormat="1" applyFont="1"/>
    <xf numFmtId="0" fontId="16" fillId="3" borderId="6" xfId="0" applyFont="1" applyFill="1" applyBorder="1"/>
    <xf numFmtId="0" fontId="14" fillId="3" borderId="7" xfId="0" applyFont="1" applyFill="1" applyBorder="1"/>
    <xf numFmtId="0" fontId="14" fillId="3" borderId="8" xfId="0" applyFont="1" applyFill="1" applyBorder="1"/>
    <xf numFmtId="0" fontId="16" fillId="3" borderId="2" xfId="0" applyFont="1" applyFill="1" applyBorder="1"/>
    <xf numFmtId="0" fontId="14" fillId="3" borderId="0" xfId="0" applyFont="1" applyFill="1" applyBorder="1"/>
    <xf numFmtId="0" fontId="14" fillId="3" borderId="3" xfId="0" applyFont="1" applyFill="1" applyBorder="1"/>
    <xf numFmtId="0" fontId="13" fillId="3" borderId="2" xfId="0" applyFont="1" applyFill="1" applyBorder="1"/>
    <xf numFmtId="0" fontId="13" fillId="3" borderId="0" xfId="0" applyFont="1" applyFill="1" applyBorder="1" applyAlignment="1">
      <alignment horizontal="right"/>
    </xf>
    <xf numFmtId="0" fontId="13" fillId="3" borderId="3" xfId="0" applyFont="1" applyFill="1" applyBorder="1" applyAlignment="1">
      <alignment horizontal="right"/>
    </xf>
    <xf numFmtId="0" fontId="14" fillId="3" borderId="2" xfId="0" applyFont="1" applyFill="1" applyBorder="1"/>
    <xf numFmtId="42" fontId="14" fillId="3" borderId="3" xfId="0" applyNumberFormat="1" applyFont="1" applyFill="1" applyBorder="1"/>
    <xf numFmtId="4" fontId="14" fillId="3" borderId="0" xfId="0" applyNumberFormat="1" applyFont="1" applyFill="1" applyBorder="1"/>
    <xf numFmtId="0" fontId="14" fillId="3" borderId="4" xfId="0" applyFont="1" applyFill="1" applyBorder="1"/>
    <xf numFmtId="4" fontId="14" fillId="3" borderId="1" xfId="0" applyNumberFormat="1" applyFont="1" applyFill="1" applyBorder="1"/>
    <xf numFmtId="0" fontId="14" fillId="3" borderId="5" xfId="0" applyFont="1" applyFill="1" applyBorder="1"/>
    <xf numFmtId="0" fontId="16" fillId="4" borderId="6" xfId="0" applyFont="1" applyFill="1" applyBorder="1"/>
    <xf numFmtId="0" fontId="14" fillId="4" borderId="7" xfId="0" applyFont="1" applyFill="1" applyBorder="1"/>
    <xf numFmtId="0" fontId="14" fillId="4" borderId="8" xfId="0" applyFont="1" applyFill="1" applyBorder="1"/>
    <xf numFmtId="0" fontId="16" fillId="4" borderId="2" xfId="0" applyFont="1" applyFill="1" applyBorder="1"/>
    <xf numFmtId="0" fontId="14" fillId="4" borderId="0" xfId="0" applyFont="1" applyFill="1" applyBorder="1"/>
    <xf numFmtId="0" fontId="14" fillId="4" borderId="3" xfId="0" applyFont="1" applyFill="1" applyBorder="1"/>
    <xf numFmtId="0" fontId="13" fillId="4" borderId="2" xfId="0" applyFont="1" applyFill="1" applyBorder="1"/>
    <xf numFmtId="0" fontId="13" fillId="4" borderId="0" xfId="0" applyFont="1" applyFill="1" applyBorder="1" applyAlignment="1">
      <alignment horizontal="right"/>
    </xf>
    <xf numFmtId="0" fontId="13" fillId="4" borderId="3" xfId="0" applyFont="1" applyFill="1" applyBorder="1" applyAlignment="1">
      <alignment horizontal="right"/>
    </xf>
    <xf numFmtId="0" fontId="14" fillId="4" borderId="2" xfId="0" applyFont="1" applyFill="1" applyBorder="1"/>
    <xf numFmtId="42" fontId="14" fillId="4" borderId="3" xfId="0" applyNumberFormat="1" applyFont="1" applyFill="1" applyBorder="1"/>
    <xf numFmtId="4" fontId="14" fillId="4" borderId="0" xfId="0" applyNumberFormat="1" applyFont="1" applyFill="1" applyBorder="1"/>
    <xf numFmtId="0" fontId="14" fillId="4" borderId="4" xfId="0" applyFont="1" applyFill="1" applyBorder="1"/>
    <xf numFmtId="4" fontId="14" fillId="4" borderId="1" xfId="0" applyNumberFormat="1" applyFont="1" applyFill="1" applyBorder="1"/>
    <xf numFmtId="0" fontId="14" fillId="4" borderId="5" xfId="0" applyFont="1" applyFill="1" applyBorder="1"/>
    <xf numFmtId="0" fontId="19" fillId="0" borderId="0" xfId="0" applyFont="1"/>
    <xf numFmtId="0" fontId="14" fillId="0" borderId="2" xfId="0" applyFont="1" applyFill="1" applyBorder="1"/>
    <xf numFmtId="0" fontId="8" fillId="5" borderId="6" xfId="0" applyFont="1" applyFill="1" applyBorder="1"/>
    <xf numFmtId="0" fontId="14" fillId="5" borderId="7" xfId="0" applyFont="1" applyFill="1" applyBorder="1"/>
    <xf numFmtId="0" fontId="14" fillId="5" borderId="8" xfId="0" applyFont="1" applyFill="1" applyBorder="1"/>
    <xf numFmtId="0" fontId="16" fillId="5" borderId="2" xfId="0" applyFont="1" applyFill="1" applyBorder="1"/>
    <xf numFmtId="0" fontId="14" fillId="5" borderId="0" xfId="0" applyFont="1" applyFill="1" applyBorder="1"/>
    <xf numFmtId="0" fontId="14" fillId="5" borderId="3" xfId="0" applyFont="1" applyFill="1" applyBorder="1"/>
    <xf numFmtId="0" fontId="13" fillId="5" borderId="2" xfId="0" applyFont="1" applyFill="1" applyBorder="1"/>
    <xf numFmtId="0" fontId="13" fillId="5" borderId="0" xfId="0" applyFont="1" applyFill="1" applyBorder="1" applyAlignment="1">
      <alignment horizontal="right"/>
    </xf>
    <xf numFmtId="0" fontId="13" fillId="5" borderId="3" xfId="0" applyFont="1" applyFill="1" applyBorder="1" applyAlignment="1">
      <alignment horizontal="right"/>
    </xf>
    <xf numFmtId="0" fontId="14" fillId="5" borderId="2" xfId="0" applyFont="1" applyFill="1" applyBorder="1"/>
    <xf numFmtId="42" fontId="14" fillId="5" borderId="3" xfId="0" applyNumberFormat="1" applyFont="1" applyFill="1" applyBorder="1"/>
    <xf numFmtId="0" fontId="14" fillId="5" borderId="4" xfId="0" applyFont="1" applyFill="1" applyBorder="1"/>
    <xf numFmtId="0" fontId="14" fillId="5" borderId="5" xfId="0" applyFont="1" applyFill="1" applyBorder="1"/>
    <xf numFmtId="4" fontId="14" fillId="5" borderId="0" xfId="0" applyNumberFormat="1" applyFont="1" applyFill="1" applyBorder="1" applyAlignment="1">
      <alignment horizontal="left"/>
    </xf>
    <xf numFmtId="4" fontId="14" fillId="5" borderId="1" xfId="0" applyNumberFormat="1" applyFont="1" applyFill="1" applyBorder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NumberFormat="1" applyFont="1" applyAlignment="1">
      <alignment horizontal="center"/>
    </xf>
    <xf numFmtId="4" fontId="21" fillId="0" borderId="0" xfId="0" applyNumberFormat="1" applyFont="1"/>
    <xf numFmtId="0" fontId="21" fillId="0" borderId="0" xfId="0" quotePrefix="1" applyFont="1"/>
    <xf numFmtId="49" fontId="21" fillId="0" borderId="0" xfId="0" applyNumberFormat="1" applyFont="1" applyAlignment="1">
      <alignment horizontal="center"/>
    </xf>
    <xf numFmtId="0" fontId="21" fillId="0" borderId="0" xfId="0" quotePrefix="1" applyFont="1" applyFill="1"/>
    <xf numFmtId="49" fontId="21" fillId="0" borderId="0" xfId="0" applyNumberFormat="1" applyFont="1" applyFill="1" applyAlignment="1">
      <alignment horizontal="center"/>
    </xf>
    <xf numFmtId="4" fontId="21" fillId="0" borderId="0" xfId="0" applyNumberFormat="1" applyFont="1" applyFill="1"/>
    <xf numFmtId="49" fontId="21" fillId="0" borderId="0" xfId="0" quotePrefix="1" applyNumberFormat="1" applyFont="1" applyAlignment="1">
      <alignment horizontal="center"/>
    </xf>
    <xf numFmtId="38" fontId="15" fillId="0" borderId="3" xfId="0" applyNumberFormat="1" applyFont="1" applyFill="1" applyBorder="1"/>
    <xf numFmtId="0" fontId="14" fillId="37" borderId="0" xfId="0" applyFont="1" applyFill="1" applyBorder="1"/>
    <xf numFmtId="0" fontId="16" fillId="37" borderId="2" xfId="0" applyFont="1" applyFill="1" applyBorder="1"/>
    <xf numFmtId="0" fontId="14" fillId="37" borderId="8" xfId="0" applyFont="1" applyFill="1" applyBorder="1"/>
    <xf numFmtId="0" fontId="14" fillId="37" borderId="7" xfId="0" applyFont="1" applyFill="1" applyBorder="1"/>
    <xf numFmtId="0" fontId="8" fillId="37" borderId="6" xfId="0" applyFont="1" applyFill="1" applyBorder="1"/>
    <xf numFmtId="0" fontId="0" fillId="0" borderId="0" xfId="0"/>
    <xf numFmtId="0" fontId="16" fillId="0" borderId="0" xfId="0" applyFont="1"/>
    <xf numFmtId="0" fontId="14" fillId="0" borderId="6" xfId="0" applyFont="1" applyBorder="1"/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4" fillId="0" borderId="2" xfId="0" applyFont="1" applyBorder="1"/>
    <xf numFmtId="3" fontId="14" fillId="0" borderId="0" xfId="0" applyNumberFormat="1" applyFont="1" applyBorder="1"/>
    <xf numFmtId="0" fontId="14" fillId="0" borderId="4" xfId="0" applyFont="1" applyBorder="1"/>
    <xf numFmtId="0" fontId="14" fillId="0" borderId="1" xfId="0" applyFont="1" applyBorder="1"/>
    <xf numFmtId="0" fontId="14" fillId="0" borderId="5" xfId="0" applyFont="1" applyBorder="1"/>
    <xf numFmtId="3" fontId="15" fillId="0" borderId="0" xfId="0" applyNumberFormat="1" applyFont="1" applyFill="1" applyBorder="1"/>
    <xf numFmtId="0" fontId="14" fillId="0" borderId="3" xfId="0" applyFont="1" applyBorder="1"/>
    <xf numFmtId="38" fontId="14" fillId="0" borderId="3" xfId="0" applyNumberFormat="1" applyFont="1" applyBorder="1"/>
    <xf numFmtId="0" fontId="14" fillId="37" borderId="3" xfId="0" applyFont="1" applyFill="1" applyBorder="1"/>
    <xf numFmtId="0" fontId="13" fillId="37" borderId="2" xfId="0" applyFont="1" applyFill="1" applyBorder="1"/>
    <xf numFmtId="0" fontId="13" fillId="37" borderId="3" xfId="0" applyFont="1" applyFill="1" applyBorder="1" applyAlignment="1">
      <alignment horizontal="right"/>
    </xf>
    <xf numFmtId="0" fontId="14" fillId="37" borderId="2" xfId="0" applyFont="1" applyFill="1" applyBorder="1"/>
    <xf numFmtId="42" fontId="14" fillId="37" borderId="3" xfId="0" applyNumberFormat="1" applyFont="1" applyFill="1" applyBorder="1"/>
    <xf numFmtId="4" fontId="14" fillId="37" borderId="0" xfId="0" applyNumberFormat="1" applyFont="1" applyFill="1" applyBorder="1" applyAlignment="1">
      <alignment horizontal="left"/>
    </xf>
    <xf numFmtId="0" fontId="14" fillId="37" borderId="4" xfId="0" applyFont="1" applyFill="1" applyBorder="1"/>
    <xf numFmtId="4" fontId="14" fillId="37" borderId="1" xfId="0" applyNumberFormat="1" applyFont="1" applyFill="1" applyBorder="1" applyAlignment="1">
      <alignment horizontal="left"/>
    </xf>
    <xf numFmtId="0" fontId="14" fillId="37" borderId="5" xfId="0" applyFont="1" applyFill="1" applyBorder="1"/>
    <xf numFmtId="0" fontId="14" fillId="37" borderId="0" xfId="0" applyFont="1" applyFill="1" applyBorder="1" applyAlignment="1">
      <alignment horizontal="center"/>
    </xf>
    <xf numFmtId="0" fontId="13" fillId="37" borderId="0" xfId="0" applyFont="1" applyFill="1" applyBorder="1" applyAlignment="1">
      <alignment horizontal="center"/>
    </xf>
    <xf numFmtId="40" fontId="14" fillId="5" borderId="3" xfId="0" applyNumberFormat="1" applyFont="1" applyFill="1" applyBorder="1"/>
    <xf numFmtId="0" fontId="38" fillId="0" borderId="0" xfId="185"/>
    <xf numFmtId="0" fontId="15" fillId="0" borderId="0" xfId="185" applyFont="1"/>
    <xf numFmtId="0" fontId="14" fillId="0" borderId="6" xfId="185" applyFont="1" applyBorder="1"/>
    <xf numFmtId="0" fontId="16" fillId="0" borderId="7" xfId="185" applyFont="1" applyBorder="1" applyAlignment="1">
      <alignment horizontal="center"/>
    </xf>
    <xf numFmtId="0" fontId="16" fillId="0" borderId="8" xfId="185" applyFont="1" applyBorder="1" applyAlignment="1">
      <alignment horizontal="center"/>
    </xf>
    <xf numFmtId="0" fontId="14" fillId="0" borderId="2" xfId="185" applyFont="1" applyBorder="1"/>
    <xf numFmtId="3" fontId="14" fillId="0" borderId="0" xfId="185" applyNumberFormat="1" applyFont="1" applyBorder="1"/>
    <xf numFmtId="3" fontId="14" fillId="0" borderId="3" xfId="185" applyNumberFormat="1" applyFont="1" applyBorder="1"/>
    <xf numFmtId="3" fontId="15" fillId="0" borderId="0" xfId="185" applyNumberFormat="1" applyFont="1" applyBorder="1"/>
    <xf numFmtId="3" fontId="15" fillId="0" borderId="3" xfId="185" applyNumberFormat="1" applyFont="1" applyBorder="1"/>
    <xf numFmtId="0" fontId="14" fillId="0" borderId="4" xfId="185" applyFont="1" applyBorder="1"/>
    <xf numFmtId="3" fontId="14" fillId="0" borderId="1" xfId="185" applyNumberFormat="1" applyFont="1" applyBorder="1"/>
    <xf numFmtId="3" fontId="14" fillId="0" borderId="5" xfId="185" applyNumberFormat="1" applyFont="1" applyBorder="1"/>
    <xf numFmtId="0" fontId="14" fillId="0" borderId="2" xfId="185" applyFont="1" applyFill="1" applyBorder="1"/>
    <xf numFmtId="40" fontId="14" fillId="37" borderId="3" xfId="0" applyNumberFormat="1" applyFont="1" applyFill="1" applyBorder="1"/>
    <xf numFmtId="0" fontId="13" fillId="5" borderId="4" xfId="132" applyFont="1" applyFill="1" applyBorder="1"/>
    <xf numFmtId="10" fontId="13" fillId="5" borderId="1" xfId="132" applyNumberFormat="1" applyFont="1" applyFill="1" applyBorder="1"/>
    <xf numFmtId="10" fontId="13" fillId="5" borderId="5" xfId="132" applyNumberFormat="1" applyFont="1" applyFill="1" applyBorder="1"/>
    <xf numFmtId="0" fontId="14" fillId="5" borderId="0" xfId="0" applyFont="1" applyFill="1" applyBorder="1" applyAlignment="1">
      <alignment horizontal="center"/>
    </xf>
    <xf numFmtId="0" fontId="8" fillId="38" borderId="6" xfId="0" applyFont="1" applyFill="1" applyBorder="1"/>
    <xf numFmtId="0" fontId="14" fillId="38" borderId="7" xfId="0" applyFont="1" applyFill="1" applyBorder="1"/>
    <xf numFmtId="0" fontId="14" fillId="38" borderId="8" xfId="0" applyFont="1" applyFill="1" applyBorder="1"/>
    <xf numFmtId="0" fontId="16" fillId="38" borderId="2" xfId="0" applyFont="1" applyFill="1" applyBorder="1"/>
    <xf numFmtId="0" fontId="14" fillId="38" borderId="0" xfId="0" applyFont="1" applyFill="1" applyBorder="1"/>
    <xf numFmtId="0" fontId="14" fillId="38" borderId="3" xfId="0" applyFont="1" applyFill="1" applyBorder="1"/>
    <xf numFmtId="0" fontId="13" fillId="38" borderId="2" xfId="0" applyFont="1" applyFill="1" applyBorder="1"/>
    <xf numFmtId="0" fontId="13" fillId="38" borderId="0" xfId="0" applyFont="1" applyFill="1" applyBorder="1" applyAlignment="1">
      <alignment horizontal="center"/>
    </xf>
    <xf numFmtId="0" fontId="13" fillId="38" borderId="3" xfId="0" applyFont="1" applyFill="1" applyBorder="1" applyAlignment="1">
      <alignment horizontal="right"/>
    </xf>
    <xf numFmtId="0" fontId="14" fillId="38" borderId="2" xfId="0" applyFont="1" applyFill="1" applyBorder="1"/>
    <xf numFmtId="0" fontId="14" fillId="38" borderId="0" xfId="0" applyFont="1" applyFill="1" applyBorder="1" applyAlignment="1">
      <alignment horizontal="center"/>
    </xf>
    <xf numFmtId="42" fontId="14" fillId="38" borderId="3" xfId="0" applyNumberFormat="1" applyFont="1" applyFill="1" applyBorder="1"/>
    <xf numFmtId="0" fontId="14" fillId="38" borderId="4" xfId="0" applyFont="1" applyFill="1" applyBorder="1"/>
    <xf numFmtId="0" fontId="14" fillId="38" borderId="5" xfId="0" applyFont="1" applyFill="1" applyBorder="1"/>
    <xf numFmtId="40" fontId="14" fillId="38" borderId="3" xfId="0" applyNumberFormat="1" applyFont="1" applyFill="1" applyBorder="1"/>
    <xf numFmtId="0" fontId="14" fillId="39" borderId="2" xfId="0" applyFont="1" applyFill="1" applyBorder="1"/>
    <xf numFmtId="3" fontId="14" fillId="39" borderId="0" xfId="0" applyNumberFormat="1" applyFont="1" applyFill="1" applyBorder="1"/>
    <xf numFmtId="0" fontId="14" fillId="39" borderId="3" xfId="0" applyFont="1" applyFill="1" applyBorder="1"/>
    <xf numFmtId="0" fontId="14" fillId="38" borderId="1" xfId="0" applyFont="1" applyFill="1" applyBorder="1"/>
    <xf numFmtId="0" fontId="14" fillId="0" borderId="7" xfId="0" applyFont="1" applyBorder="1"/>
    <xf numFmtId="42" fontId="15" fillId="0" borderId="3" xfId="0" applyNumberFormat="1" applyFont="1" applyBorder="1"/>
    <xf numFmtId="10" fontId="14" fillId="38" borderId="0" xfId="0" applyNumberFormat="1" applyFont="1" applyFill="1" applyBorder="1" applyAlignment="1">
      <alignment horizontal="center"/>
    </xf>
    <xf numFmtId="10" fontId="14" fillId="38" borderId="1" xfId="0" applyNumberFormat="1" applyFont="1" applyFill="1" applyBorder="1" applyAlignment="1">
      <alignment horizontal="center"/>
    </xf>
    <xf numFmtId="10" fontId="14" fillId="38" borderId="3" xfId="0" applyNumberFormat="1" applyFont="1" applyFill="1" applyBorder="1"/>
    <xf numFmtId="10" fontId="14" fillId="5" borderId="3" xfId="0" applyNumberFormat="1" applyFont="1" applyFill="1" applyBorder="1"/>
    <xf numFmtId="10" fontId="14" fillId="38" borderId="0" xfId="0" applyNumberFormat="1" applyFont="1" applyFill="1" applyBorder="1" applyAlignment="1">
      <alignment horizontal="left"/>
    </xf>
    <xf numFmtId="10" fontId="14" fillId="38" borderId="1" xfId="0" applyNumberFormat="1" applyFont="1" applyFill="1" applyBorder="1" applyAlignment="1">
      <alignment horizontal="left"/>
    </xf>
    <xf numFmtId="3" fontId="14" fillId="0" borderId="0" xfId="185" applyNumberFormat="1" applyFont="1" applyFill="1" applyBorder="1"/>
    <xf numFmtId="0" fontId="8" fillId="40" borderId="6" xfId="0" applyFont="1" applyFill="1" applyBorder="1"/>
    <xf numFmtId="0" fontId="14" fillId="40" borderId="7" xfId="0" applyFont="1" applyFill="1" applyBorder="1"/>
    <xf numFmtId="0" fontId="14" fillId="40" borderId="8" xfId="0" applyFont="1" applyFill="1" applyBorder="1"/>
    <xf numFmtId="0" fontId="16" fillId="40" borderId="2" xfId="0" applyFont="1" applyFill="1" applyBorder="1"/>
    <xf numFmtId="0" fontId="14" fillId="40" borderId="0" xfId="0" applyFont="1" applyFill="1" applyBorder="1"/>
    <xf numFmtId="0" fontId="14" fillId="40" borderId="3" xfId="0" applyFont="1" applyFill="1" applyBorder="1"/>
    <xf numFmtId="0" fontId="13" fillId="40" borderId="2" xfId="0" applyFont="1" applyFill="1" applyBorder="1"/>
    <xf numFmtId="0" fontId="13" fillId="40" borderId="0" xfId="0" applyFont="1" applyFill="1" applyBorder="1" applyAlignment="1">
      <alignment horizontal="center"/>
    </xf>
    <xf numFmtId="0" fontId="13" fillId="40" borderId="3" xfId="0" applyFont="1" applyFill="1" applyBorder="1" applyAlignment="1">
      <alignment horizontal="right"/>
    </xf>
    <xf numFmtId="0" fontId="14" fillId="40" borderId="2" xfId="0" applyFont="1" applyFill="1" applyBorder="1"/>
    <xf numFmtId="0" fontId="14" fillId="40" borderId="0" xfId="0" applyFont="1" applyFill="1" applyBorder="1" applyAlignment="1">
      <alignment horizontal="center"/>
    </xf>
    <xf numFmtId="10" fontId="14" fillId="40" borderId="3" xfId="0" applyNumberFormat="1" applyFont="1" applyFill="1" applyBorder="1"/>
    <xf numFmtId="42" fontId="14" fillId="40" borderId="3" xfId="0" applyNumberFormat="1" applyFont="1" applyFill="1" applyBorder="1"/>
    <xf numFmtId="10" fontId="14" fillId="40" borderId="0" xfId="0" applyNumberFormat="1" applyFont="1" applyFill="1" applyBorder="1" applyAlignment="1">
      <alignment horizontal="center"/>
    </xf>
    <xf numFmtId="0" fontId="14" fillId="40" borderId="1" xfId="0" applyFont="1" applyFill="1" applyBorder="1"/>
    <xf numFmtId="10" fontId="14" fillId="40" borderId="1" xfId="0" applyNumberFormat="1" applyFont="1" applyFill="1" applyBorder="1" applyAlignment="1">
      <alignment horizontal="center"/>
    </xf>
    <xf numFmtId="0" fontId="14" fillId="40" borderId="5" xfId="0" applyFont="1" applyFill="1" applyBorder="1"/>
    <xf numFmtId="0" fontId="45" fillId="0" borderId="0" xfId="0" applyFont="1"/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wrapText="1"/>
    </xf>
    <xf numFmtId="0" fontId="45" fillId="0" borderId="0" xfId="0" applyFont="1" applyAlignment="1">
      <alignment wrapText="1"/>
    </xf>
    <xf numFmtId="0" fontId="45" fillId="0" borderId="0" xfId="0" applyFont="1" applyAlignment="1">
      <alignment horizontal="center"/>
    </xf>
    <xf numFmtId="0" fontId="45" fillId="0" borderId="19" xfId="0" applyFont="1" applyBorder="1" applyAlignment="1">
      <alignment horizontal="center"/>
    </xf>
    <xf numFmtId="0" fontId="45" fillId="0" borderId="19" xfId="0" applyFont="1" applyBorder="1"/>
    <xf numFmtId="10" fontId="45" fillId="0" borderId="20" xfId="0" applyNumberFormat="1" applyFont="1" applyFill="1" applyBorder="1" applyAlignment="1">
      <alignment horizontal="center"/>
    </xf>
    <xf numFmtId="0" fontId="45" fillId="0" borderId="21" xfId="0" applyFont="1" applyBorder="1" applyAlignment="1">
      <alignment horizontal="center"/>
    </xf>
    <xf numFmtId="0" fontId="45" fillId="0" borderId="21" xfId="0" applyFont="1" applyBorder="1"/>
    <xf numFmtId="10" fontId="45" fillId="0" borderId="22" xfId="0" applyNumberFormat="1" applyFont="1" applyFill="1" applyBorder="1" applyAlignment="1">
      <alignment horizontal="center"/>
    </xf>
    <xf numFmtId="10" fontId="45" fillId="0" borderId="22" xfId="0" applyNumberFormat="1" applyFont="1" applyBorder="1" applyAlignment="1">
      <alignment horizontal="center"/>
    </xf>
    <xf numFmtId="0" fontId="45" fillId="39" borderId="20" xfId="0" applyFont="1" applyFill="1" applyBorder="1" applyAlignment="1">
      <alignment horizontal="center"/>
    </xf>
    <xf numFmtId="0" fontId="45" fillId="39" borderId="22" xfId="0" applyFont="1" applyFill="1" applyBorder="1" applyAlignment="1">
      <alignment horizontal="center"/>
    </xf>
    <xf numFmtId="10" fontId="45" fillId="39" borderId="22" xfId="0" applyNumberFormat="1" applyFont="1" applyFill="1" applyBorder="1" applyAlignment="1">
      <alignment horizontal="center"/>
    </xf>
    <xf numFmtId="10" fontId="45" fillId="39" borderId="21" xfId="0" applyNumberFormat="1" applyFont="1" applyFill="1" applyBorder="1" applyAlignment="1">
      <alignment horizontal="center"/>
    </xf>
    <xf numFmtId="0" fontId="45" fillId="39" borderId="21" xfId="0" applyFont="1" applyFill="1" applyBorder="1" applyAlignment="1">
      <alignment horizontal="center"/>
    </xf>
    <xf numFmtId="0" fontId="45" fillId="39" borderId="23" xfId="0" applyFont="1" applyFill="1" applyBorder="1" applyAlignment="1">
      <alignment horizontal="center"/>
    </xf>
    <xf numFmtId="0" fontId="45" fillId="39" borderId="24" xfId="0" applyFont="1" applyFill="1" applyBorder="1" applyAlignment="1">
      <alignment horizontal="center"/>
    </xf>
    <xf numFmtId="0" fontId="46" fillId="39" borderId="22" xfId="0" applyFont="1" applyFill="1" applyBorder="1" applyAlignment="1">
      <alignment horizontal="center"/>
    </xf>
    <xf numFmtId="164" fontId="45" fillId="39" borderId="21" xfId="0" applyNumberFormat="1" applyFont="1" applyFill="1" applyBorder="1" applyAlignment="1">
      <alignment horizontal="right"/>
    </xf>
    <xf numFmtId="0" fontId="45" fillId="39" borderId="21" xfId="0" applyFont="1" applyFill="1" applyBorder="1"/>
    <xf numFmtId="0" fontId="45" fillId="0" borderId="0" xfId="0" applyFont="1" applyAlignment="1">
      <alignment horizontal="left"/>
    </xf>
    <xf numFmtId="0" fontId="45" fillId="0" borderId="26" xfId="0" applyFont="1" applyBorder="1"/>
    <xf numFmtId="0" fontId="45" fillId="0" borderId="22" xfId="0" applyFont="1" applyFill="1" applyBorder="1" applyAlignment="1">
      <alignment horizontal="center"/>
    </xf>
    <xf numFmtId="0" fontId="45" fillId="0" borderId="23" xfId="0" applyFont="1" applyFill="1" applyBorder="1" applyAlignment="1">
      <alignment horizontal="center"/>
    </xf>
    <xf numFmtId="0" fontId="45" fillId="0" borderId="25" xfId="0" applyFont="1" applyFill="1" applyBorder="1" applyAlignment="1">
      <alignment horizontal="center"/>
    </xf>
    <xf numFmtId="0" fontId="45" fillId="37" borderId="18" xfId="0" applyFont="1" applyFill="1" applyBorder="1" applyAlignment="1">
      <alignment horizontal="center" wrapText="1"/>
    </xf>
    <xf numFmtId="164" fontId="45" fillId="0" borderId="27" xfId="0" applyNumberFormat="1" applyFont="1" applyFill="1" applyBorder="1" applyAlignment="1">
      <alignment horizontal="right"/>
    </xf>
    <xf numFmtId="164" fontId="45" fillId="39" borderId="28" xfId="0" applyNumberFormat="1" applyFont="1" applyFill="1" applyBorder="1" applyAlignment="1">
      <alignment horizontal="right"/>
    </xf>
    <xf numFmtId="164" fontId="45" fillId="0" borderId="28" xfId="0" applyNumberFormat="1" applyFont="1" applyFill="1" applyBorder="1" applyAlignment="1">
      <alignment horizontal="right"/>
    </xf>
    <xf numFmtId="0" fontId="45" fillId="39" borderId="28" xfId="0" applyFont="1" applyFill="1" applyBorder="1" applyAlignment="1">
      <alignment horizontal="right"/>
    </xf>
    <xf numFmtId="0" fontId="45" fillId="39" borderId="29" xfId="0" applyFont="1" applyFill="1" applyBorder="1" applyAlignment="1">
      <alignment horizontal="right"/>
    </xf>
    <xf numFmtId="0" fontId="45" fillId="39" borderId="30" xfId="0" applyFont="1" applyFill="1" applyBorder="1" applyAlignment="1">
      <alignment horizontal="right"/>
    </xf>
    <xf numFmtId="0" fontId="45" fillId="41" borderId="31" xfId="0" applyFont="1" applyFill="1" applyBorder="1" applyAlignment="1">
      <alignment horizontal="center" wrapText="1"/>
    </xf>
    <xf numFmtId="10" fontId="45" fillId="41" borderId="32" xfId="0" applyNumberFormat="1" applyFont="1" applyFill="1" applyBorder="1" applyAlignment="1">
      <alignment horizontal="center"/>
    </xf>
    <xf numFmtId="10" fontId="45" fillId="41" borderId="26" xfId="0" applyNumberFormat="1" applyFont="1" applyFill="1" applyBorder="1" applyAlignment="1">
      <alignment horizontal="center"/>
    </xf>
    <xf numFmtId="0" fontId="45" fillId="37" borderId="6" xfId="0" applyFont="1" applyFill="1" applyBorder="1" applyAlignment="1">
      <alignment horizontal="center" wrapText="1"/>
    </xf>
    <xf numFmtId="37" fontId="15" fillId="0" borderId="3" xfId="0" applyNumberFormat="1" applyFont="1" applyBorder="1"/>
    <xf numFmtId="0" fontId="49" fillId="38" borderId="6" xfId="0" applyFont="1" applyFill="1" applyBorder="1"/>
    <xf numFmtId="0" fontId="49" fillId="42" borderId="6" xfId="0" applyFont="1" applyFill="1" applyBorder="1"/>
    <xf numFmtId="164" fontId="45" fillId="39" borderId="19" xfId="0" applyNumberFormat="1" applyFont="1" applyFill="1" applyBorder="1" applyAlignment="1">
      <alignment horizontal="right"/>
    </xf>
    <xf numFmtId="164" fontId="45" fillId="39" borderId="27" xfId="0" applyNumberFormat="1" applyFont="1" applyFill="1" applyBorder="1" applyAlignment="1">
      <alignment horizontal="right"/>
    </xf>
    <xf numFmtId="0" fontId="48" fillId="0" borderId="0" xfId="0" applyFont="1" applyBorder="1" applyAlignment="1">
      <alignment horizontal="center"/>
    </xf>
    <xf numFmtId="164" fontId="45" fillId="0" borderId="0" xfId="0" applyNumberFormat="1" applyFont="1" applyFill="1" applyBorder="1" applyAlignment="1">
      <alignment horizontal="right"/>
    </xf>
    <xf numFmtId="10" fontId="45" fillId="43" borderId="22" xfId="0" applyNumberFormat="1" applyFont="1" applyFill="1" applyBorder="1" applyAlignment="1">
      <alignment horizontal="center"/>
    </xf>
    <xf numFmtId="0" fontId="45" fillId="43" borderId="22" xfId="0" applyFont="1" applyFill="1" applyBorder="1" applyAlignment="1">
      <alignment horizontal="center"/>
    </xf>
    <xf numFmtId="0" fontId="45" fillId="43" borderId="20" xfId="0" applyFont="1" applyFill="1" applyBorder="1" applyAlignment="1">
      <alignment horizontal="center"/>
    </xf>
    <xf numFmtId="10" fontId="45" fillId="43" borderId="21" xfId="0" applyNumberFormat="1" applyFont="1" applyFill="1" applyBorder="1" applyAlignment="1">
      <alignment horizontal="center"/>
    </xf>
    <xf numFmtId="0" fontId="45" fillId="43" borderId="21" xfId="0" applyFont="1" applyFill="1" applyBorder="1" applyAlignment="1">
      <alignment horizontal="center"/>
    </xf>
    <xf numFmtId="0" fontId="45" fillId="43" borderId="24" xfId="0" applyFont="1" applyFill="1" applyBorder="1" applyAlignment="1">
      <alignment horizontal="center"/>
    </xf>
    <xf numFmtId="0" fontId="46" fillId="43" borderId="22" xfId="0" applyFont="1" applyFill="1" applyBorder="1" applyAlignment="1">
      <alignment horizontal="center"/>
    </xf>
    <xf numFmtId="164" fontId="45" fillId="43" borderId="21" xfId="0" applyNumberFormat="1" applyFont="1" applyFill="1" applyBorder="1" applyAlignment="1">
      <alignment horizontal="right"/>
    </xf>
    <xf numFmtId="164" fontId="45" fillId="43" borderId="28" xfId="0" applyNumberFormat="1" applyFont="1" applyFill="1" applyBorder="1" applyAlignment="1">
      <alignment horizontal="right"/>
    </xf>
    <xf numFmtId="0" fontId="45" fillId="43" borderId="28" xfId="0" applyFont="1" applyFill="1" applyBorder="1" applyAlignment="1">
      <alignment horizontal="right"/>
    </xf>
    <xf numFmtId="0" fontId="45" fillId="43" borderId="30" xfId="0" applyFont="1" applyFill="1" applyBorder="1" applyAlignment="1">
      <alignment horizontal="right"/>
    </xf>
    <xf numFmtId="0" fontId="45" fillId="0" borderId="0" xfId="0" applyFont="1" applyFill="1" applyBorder="1" applyAlignment="1">
      <alignment horizontal="center" wrapText="1"/>
    </xf>
    <xf numFmtId="10" fontId="45" fillId="0" borderId="0" xfId="0" applyNumberFormat="1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8" fillId="0" borderId="0" xfId="0" applyFont="1"/>
    <xf numFmtId="0" fontId="45" fillId="43" borderId="21" xfId="0" applyFont="1" applyFill="1" applyBorder="1"/>
    <xf numFmtId="0" fontId="45" fillId="37" borderId="33" xfId="0" applyFont="1" applyFill="1" applyBorder="1" applyAlignment="1">
      <alignment horizontal="center" wrapText="1"/>
    </xf>
    <xf numFmtId="10" fontId="45" fillId="43" borderId="34" xfId="0" applyNumberFormat="1" applyFont="1" applyFill="1" applyBorder="1" applyAlignment="1">
      <alignment horizontal="center"/>
    </xf>
    <xf numFmtId="0" fontId="45" fillId="43" borderId="34" xfId="0" applyFont="1" applyFill="1" applyBorder="1" applyAlignment="1">
      <alignment horizontal="center"/>
    </xf>
    <xf numFmtId="0" fontId="45" fillId="43" borderId="35" xfId="0" applyFont="1" applyFill="1" applyBorder="1" applyAlignment="1">
      <alignment horizontal="center"/>
    </xf>
    <xf numFmtId="164" fontId="45" fillId="0" borderId="36" xfId="0" applyNumberFormat="1" applyFont="1" applyFill="1" applyBorder="1" applyAlignment="1">
      <alignment horizontal="right"/>
    </xf>
    <xf numFmtId="164" fontId="45" fillId="0" borderId="34" xfId="0" applyNumberFormat="1" applyFont="1" applyFill="1" applyBorder="1" applyAlignment="1">
      <alignment horizontal="right"/>
    </xf>
    <xf numFmtId="164" fontId="45" fillId="43" borderId="34" xfId="0" applyNumberFormat="1" applyFont="1" applyFill="1" applyBorder="1" applyAlignment="1">
      <alignment horizontal="right"/>
    </xf>
    <xf numFmtId="0" fontId="45" fillId="37" borderId="37" xfId="0" applyFont="1" applyFill="1" applyBorder="1" applyAlignment="1">
      <alignment horizontal="center" wrapText="1"/>
    </xf>
    <xf numFmtId="0" fontId="45" fillId="0" borderId="18" xfId="0" applyFont="1" applyBorder="1" applyAlignment="1">
      <alignment horizontal="center"/>
    </xf>
    <xf numFmtId="0" fontId="45" fillId="43" borderId="38" xfId="0" applyFont="1" applyFill="1" applyBorder="1" applyAlignment="1">
      <alignment horizontal="center"/>
    </xf>
    <xf numFmtId="0" fontId="45" fillId="0" borderId="22" xfId="0" applyFont="1" applyBorder="1" applyAlignment="1">
      <alignment horizontal="center"/>
    </xf>
    <xf numFmtId="0" fontId="14" fillId="0" borderId="37" xfId="0" applyFont="1" applyBorder="1"/>
    <xf numFmtId="0" fontId="14" fillId="0" borderId="37" xfId="0" applyFont="1" applyBorder="1" applyAlignment="1">
      <alignment horizontal="center"/>
    </xf>
    <xf numFmtId="0" fontId="14" fillId="0" borderId="37" xfId="0" applyFont="1" applyBorder="1" applyAlignment="1">
      <alignment wrapText="1"/>
    </xf>
    <xf numFmtId="10" fontId="14" fillId="0" borderId="37" xfId="0" applyNumberFormat="1" applyFont="1" applyBorder="1"/>
    <xf numFmtId="38" fontId="14" fillId="0" borderId="37" xfId="0" applyNumberFormat="1" applyFont="1" applyBorder="1"/>
    <xf numFmtId="10" fontId="50" fillId="0" borderId="37" xfId="0" applyNumberFormat="1" applyFont="1" applyBorder="1"/>
    <xf numFmtId="0" fontId="13" fillId="5" borderId="4" xfId="413" applyFont="1" applyFill="1" applyBorder="1"/>
    <xf numFmtId="10" fontId="13" fillId="5" borderId="1" xfId="413" applyNumberFormat="1" applyFont="1" applyFill="1" applyBorder="1"/>
    <xf numFmtId="10" fontId="13" fillId="5" borderId="5" xfId="413" applyNumberFormat="1" applyFont="1" applyFill="1" applyBorder="1"/>
    <xf numFmtId="0" fontId="38" fillId="0" borderId="0" xfId="0" applyFont="1" applyAlignment="1">
      <alignment horizontal="left" vertical="center" indent="2"/>
    </xf>
    <xf numFmtId="0" fontId="52" fillId="0" borderId="37" xfId="417" applyBorder="1" applyAlignment="1" applyProtection="1">
      <alignment wrapText="1"/>
    </xf>
    <xf numFmtId="38" fontId="14" fillId="0" borderId="0" xfId="0" applyNumberFormat="1" applyFont="1"/>
    <xf numFmtId="0" fontId="52" fillId="0" borderId="37" xfId="417" applyBorder="1" applyAlignment="1" applyProtection="1">
      <alignment wrapText="1"/>
    </xf>
    <xf numFmtId="0" fontId="14" fillId="5" borderId="2" xfId="0" applyFont="1" applyFill="1" applyBorder="1" applyAlignment="1">
      <alignment wrapText="1"/>
    </xf>
    <xf numFmtId="0" fontId="6" fillId="0" borderId="21" xfId="0" applyFont="1" applyBorder="1"/>
    <xf numFmtId="10" fontId="45" fillId="0" borderId="39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37" borderId="6" xfId="0" applyFont="1" applyFill="1" applyBorder="1" applyAlignment="1">
      <alignment horizontal="center" wrapText="1"/>
    </xf>
    <xf numFmtId="0" fontId="6" fillId="37" borderId="18" xfId="0" applyFont="1" applyFill="1" applyBorder="1" applyAlignment="1">
      <alignment horizontal="center" wrapText="1"/>
    </xf>
    <xf numFmtId="10" fontId="45" fillId="43" borderId="28" xfId="0" applyNumberFormat="1" applyFont="1" applyFill="1" applyBorder="1" applyAlignment="1">
      <alignment horizontal="center"/>
    </xf>
    <xf numFmtId="0" fontId="54" fillId="44" borderId="0" xfId="795" applyFont="1" applyFill="1" applyAlignment="1">
      <alignment horizontal="center"/>
    </xf>
    <xf numFmtId="9" fontId="53" fillId="45" borderId="0" xfId="794" applyNumberFormat="1" applyFill="1"/>
    <xf numFmtId="0" fontId="53" fillId="44" borderId="0" xfId="795" applyFill="1"/>
    <xf numFmtId="0" fontId="48" fillId="44" borderId="0" xfId="795" applyFont="1" applyFill="1" applyAlignment="1">
      <alignment horizontal="center"/>
    </xf>
    <xf numFmtId="0" fontId="7" fillId="44" borderId="0" xfId="795" applyFont="1" applyFill="1" applyAlignment="1">
      <alignment horizontal="center"/>
    </xf>
    <xf numFmtId="0" fontId="7" fillId="44" borderId="0" xfId="795" applyFont="1" applyFill="1" applyAlignment="1">
      <alignment horizontal="center" wrapText="1"/>
    </xf>
    <xf numFmtId="9" fontId="7" fillId="45" borderId="0" xfId="794" applyNumberFormat="1" applyFont="1" applyFill="1" applyAlignment="1">
      <alignment horizontal="center"/>
    </xf>
    <xf numFmtId="0" fontId="6" fillId="44" borderId="0" xfId="795" applyFont="1" applyFill="1" applyAlignment="1">
      <alignment horizontal="center"/>
    </xf>
    <xf numFmtId="0" fontId="6" fillId="44" borderId="0" xfId="795" applyFont="1" applyFill="1" applyAlignment="1">
      <alignment horizontal="center" wrapText="1"/>
    </xf>
    <xf numFmtId="9" fontId="6" fillId="45" borderId="0" xfId="794" applyNumberFormat="1" applyFont="1" applyFill="1" applyAlignment="1">
      <alignment horizontal="center"/>
    </xf>
    <xf numFmtId="0" fontId="53" fillId="44" borderId="0" xfId="795" applyFont="1" applyFill="1" applyAlignment="1">
      <alignment horizontal="center"/>
    </xf>
    <xf numFmtId="10" fontId="53" fillId="44" borderId="0" xfId="795" applyNumberFormat="1" applyFill="1"/>
    <xf numFmtId="165" fontId="53" fillId="0" borderId="0" xfId="795" applyNumberFormat="1" applyFill="1"/>
    <xf numFmtId="10" fontId="53" fillId="0" borderId="0" xfId="795" applyNumberFormat="1" applyFill="1"/>
    <xf numFmtId="166" fontId="53" fillId="44" borderId="0" xfId="795" applyNumberFormat="1" applyFill="1"/>
    <xf numFmtId="166" fontId="55" fillId="44" borderId="0" xfId="795" applyNumberFormat="1" applyFont="1" applyFill="1" applyAlignment="1">
      <alignment vertical="top"/>
    </xf>
    <xf numFmtId="166" fontId="56" fillId="44" borderId="0" xfId="795" applyNumberFormat="1" applyFont="1" applyFill="1" applyAlignment="1">
      <alignment vertical="top"/>
    </xf>
    <xf numFmtId="9" fontId="56" fillId="45" borderId="0" xfId="794" applyNumberFormat="1" applyFont="1" applyFill="1" applyAlignment="1">
      <alignment vertical="top"/>
    </xf>
    <xf numFmtId="0" fontId="0" fillId="0" borderId="0" xfId="0" applyAlignment="1"/>
    <xf numFmtId="0" fontId="38" fillId="44" borderId="0" xfId="795" applyFont="1" applyFill="1"/>
    <xf numFmtId="165" fontId="38" fillId="44" borderId="0" xfId="795" applyNumberFormat="1" applyFont="1" applyFill="1"/>
    <xf numFmtId="9" fontId="38" fillId="45" borderId="0" xfId="794" applyNumberFormat="1" applyFont="1" applyFill="1"/>
    <xf numFmtId="0" fontId="38" fillId="44" borderId="0" xfId="795" applyFont="1" applyFill="1" applyAlignment="1">
      <alignment horizontal="left" indent="2"/>
    </xf>
    <xf numFmtId="0" fontId="38" fillId="44" borderId="0" xfId="795" applyFont="1" applyFill="1" applyAlignment="1">
      <alignment horizontal="right"/>
    </xf>
    <xf numFmtId="49" fontId="38" fillId="44" borderId="0" xfId="795" applyNumberFormat="1" applyFont="1" applyFill="1" applyAlignment="1">
      <alignment horizontal="right"/>
    </xf>
    <xf numFmtId="167" fontId="38" fillId="44" borderId="0" xfId="795" applyNumberFormat="1" applyFont="1" applyFill="1" applyAlignment="1">
      <alignment horizontal="right"/>
    </xf>
    <xf numFmtId="9" fontId="38" fillId="45" borderId="0" xfId="794" applyNumberFormat="1" applyFont="1" applyFill="1" applyAlignment="1">
      <alignment horizontal="right"/>
    </xf>
    <xf numFmtId="10" fontId="7" fillId="44" borderId="0" xfId="795" applyNumberFormat="1" applyFont="1" applyFill="1"/>
    <xf numFmtId="10" fontId="13" fillId="44" borderId="0" xfId="795" applyNumberFormat="1" applyFont="1" applyFill="1"/>
    <xf numFmtId="164" fontId="53" fillId="44" borderId="0" xfId="795" applyNumberFormat="1" applyFont="1" applyFill="1"/>
    <xf numFmtId="164" fontId="53" fillId="44" borderId="0" xfId="795" applyNumberFormat="1" applyFill="1"/>
    <xf numFmtId="164" fontId="53" fillId="0" borderId="0" xfId="795" applyNumberFormat="1" applyFill="1"/>
    <xf numFmtId="0" fontId="0" fillId="44" borderId="0" xfId="0" applyFill="1" applyAlignment="1"/>
    <xf numFmtId="0" fontId="53" fillId="44" borderId="0" xfId="795" applyFill="1" applyAlignment="1"/>
    <xf numFmtId="0" fontId="38" fillId="44" borderId="40" xfId="795" applyFont="1" applyFill="1" applyBorder="1" applyAlignment="1"/>
    <xf numFmtId="164" fontId="53" fillId="46" borderId="41" xfId="793" applyNumberFormat="1" applyFill="1" applyBorder="1" applyAlignment="1"/>
    <xf numFmtId="0" fontId="38" fillId="44" borderId="42" xfId="795" applyFont="1" applyFill="1" applyBorder="1"/>
    <xf numFmtId="10" fontId="53" fillId="44" borderId="0" xfId="795" applyNumberFormat="1" applyFill="1" applyBorder="1"/>
    <xf numFmtId="0" fontId="7" fillId="44" borderId="42" xfId="795" applyFont="1" applyFill="1" applyBorder="1"/>
    <xf numFmtId="0" fontId="0" fillId="44" borderId="42" xfId="795" applyFont="1" applyFill="1" applyBorder="1"/>
    <xf numFmtId="0" fontId="38" fillId="44" borderId="43" xfId="795" applyFont="1" applyFill="1" applyBorder="1"/>
    <xf numFmtId="9" fontId="53" fillId="44" borderId="44" xfId="795" applyNumberFormat="1" applyFill="1" applyBorder="1"/>
    <xf numFmtId="0" fontId="57" fillId="44" borderId="0" xfId="796" applyFill="1" applyAlignment="1" applyProtection="1"/>
    <xf numFmtId="0" fontId="6" fillId="37" borderId="33" xfId="0" applyFont="1" applyFill="1" applyBorder="1" applyAlignment="1">
      <alignment horizontal="center" wrapText="1"/>
    </xf>
    <xf numFmtId="0" fontId="6" fillId="37" borderId="37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48" fillId="0" borderId="0" xfId="0" applyFont="1" applyAlignment="1">
      <alignment horizontal="center"/>
    </xf>
    <xf numFmtId="0" fontId="6" fillId="41" borderId="0" xfId="0" applyFont="1" applyFill="1" applyAlignment="1">
      <alignment horizontal="center" wrapText="1"/>
    </xf>
    <xf numFmtId="0" fontId="48" fillId="0" borderId="0" xfId="0" applyFont="1" applyAlignment="1">
      <alignment horizontal="center" wrapText="1"/>
    </xf>
    <xf numFmtId="0" fontId="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45" fillId="0" borderId="47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54" fillId="44" borderId="0" xfId="795" applyFont="1" applyFill="1" applyAlignment="1">
      <alignment horizontal="center"/>
    </xf>
    <xf numFmtId="0" fontId="53" fillId="44" borderId="0" xfId="795" applyFont="1" applyFill="1" applyAlignment="1">
      <alignment horizontal="center"/>
    </xf>
    <xf numFmtId="0" fontId="54" fillId="44" borderId="0" xfId="795" applyFont="1" applyFill="1" applyAlignment="1">
      <alignment horizontal="center"/>
    </xf>
    <xf numFmtId="0" fontId="53" fillId="44" borderId="0" xfId="795" applyFont="1" applyFill="1" applyAlignment="1">
      <alignment horizontal="center"/>
    </xf>
    <xf numFmtId="0" fontId="6" fillId="0" borderId="19" xfId="0" applyFont="1" applyBorder="1"/>
    <xf numFmtId="0" fontId="0" fillId="0" borderId="37" xfId="0" applyBorder="1"/>
    <xf numFmtId="10" fontId="0" fillId="0" borderId="37" xfId="0" applyNumberFormat="1" applyBorder="1"/>
    <xf numFmtId="164" fontId="0" fillId="0" borderId="37" xfId="0" applyNumberFormat="1" applyBorder="1"/>
    <xf numFmtId="0" fontId="52" fillId="0" borderId="0" xfId="417" applyAlignment="1" applyProtection="1"/>
    <xf numFmtId="0" fontId="13" fillId="0" borderId="4" xfId="413" applyFont="1" applyFill="1" applyBorder="1"/>
    <xf numFmtId="10" fontId="13" fillId="0" borderId="1" xfId="413" applyNumberFormat="1" applyFont="1" applyFill="1" applyBorder="1"/>
    <xf numFmtId="10" fontId="13" fillId="0" borderId="5" xfId="413" applyNumberFormat="1" applyFont="1" applyFill="1" applyBorder="1"/>
    <xf numFmtId="0" fontId="13" fillId="0" borderId="2" xfId="0" applyFont="1" applyBorder="1"/>
    <xf numFmtId="3" fontId="13" fillId="0" borderId="0" xfId="0" applyNumberFormat="1" applyFont="1" applyBorder="1"/>
    <xf numFmtId="3" fontId="13" fillId="0" borderId="3" xfId="0" applyNumberFormat="1" applyFont="1" applyBorder="1"/>
    <xf numFmtId="0" fontId="60" fillId="0" borderId="0" xfId="185" applyFont="1"/>
    <xf numFmtId="0" fontId="60" fillId="0" borderId="0" xfId="0" applyFont="1"/>
    <xf numFmtId="0" fontId="54" fillId="44" borderId="0" xfId="795" applyFont="1" applyFill="1" applyAlignment="1">
      <alignment horizontal="center"/>
    </xf>
    <xf numFmtId="0" fontId="53" fillId="44" borderId="0" xfId="795" applyFont="1" applyFill="1" applyAlignment="1">
      <alignment horizontal="center"/>
    </xf>
    <xf numFmtId="10" fontId="38" fillId="44" borderId="0" xfId="795" applyNumberFormat="1" applyFont="1" applyFill="1"/>
    <xf numFmtId="10" fontId="38" fillId="44" borderId="0" xfId="795" applyNumberFormat="1" applyFont="1" applyFill="1" applyAlignment="1">
      <alignment wrapText="1"/>
    </xf>
    <xf numFmtId="164" fontId="38" fillId="44" borderId="0" xfId="795" applyNumberFormat="1" applyFont="1" applyFill="1"/>
    <xf numFmtId="0" fontId="48" fillId="0" borderId="1" xfId="0" applyFont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59" fillId="0" borderId="0" xfId="0" applyFont="1" applyAlignment="1">
      <alignment horizontal="center" wrapText="1"/>
    </xf>
    <xf numFmtId="0" fontId="53" fillId="44" borderId="0" xfId="795" applyFont="1" applyFill="1" applyAlignment="1">
      <alignment wrapText="1"/>
    </xf>
    <xf numFmtId="0" fontId="0" fillId="0" borderId="0" xfId="0" applyAlignment="1">
      <alignment wrapText="1"/>
    </xf>
    <xf numFmtId="0" fontId="54" fillId="44" borderId="0" xfId="795" applyFont="1" applyFill="1" applyAlignment="1">
      <alignment horizontal="center"/>
    </xf>
    <xf numFmtId="0" fontId="53" fillId="44" borderId="0" xfId="795" applyFont="1" applyFill="1" applyAlignment="1">
      <alignment horizontal="center"/>
    </xf>
    <xf numFmtId="0" fontId="53" fillId="44" borderId="0" xfId="795" applyFont="1" applyFill="1" applyAlignment="1">
      <alignment horizontal="center" wrapText="1"/>
    </xf>
    <xf numFmtId="0" fontId="0" fillId="44" borderId="0" xfId="0" applyFill="1" applyAlignment="1">
      <alignment wrapText="1"/>
    </xf>
    <xf numFmtId="0" fontId="53" fillId="0" borderId="0" xfId="795" applyFont="1" applyFill="1" applyAlignment="1">
      <alignment horizontal="center" wrapText="1"/>
    </xf>
    <xf numFmtId="0" fontId="0" fillId="0" borderId="0" xfId="0" applyFill="1" applyAlignment="1">
      <alignment wrapText="1"/>
    </xf>
  </cellXfs>
  <cellStyles count="797">
    <cellStyle name="20% - Accent1" xfId="18" builtinId="30" customBuiltin="1"/>
    <cellStyle name="20% - Accent1 10" xfId="281" xr:uid="{00000000-0005-0000-0000-000001000000}"/>
    <cellStyle name="20% - Accent1 10 2" xfId="540" xr:uid="{00000000-0005-0000-0000-000002000000}"/>
    <cellStyle name="20% - Accent1 11" xfId="419" xr:uid="{00000000-0005-0000-0000-000003000000}"/>
    <cellStyle name="20% - Accent1 2" xfId="49" xr:uid="{00000000-0005-0000-0000-000004000000}"/>
    <cellStyle name="20% - Accent1 2 2" xfId="165" xr:uid="{00000000-0005-0000-0000-000005000000}"/>
    <cellStyle name="20% - Accent1 2 2 2" xfId="541" xr:uid="{00000000-0005-0000-0000-000006000000}"/>
    <cellStyle name="20% - Accent1 2 3" xfId="253" xr:uid="{00000000-0005-0000-0000-000007000000}"/>
    <cellStyle name="20% - Accent1 2 3 2" xfId="542" xr:uid="{00000000-0005-0000-0000-000008000000}"/>
    <cellStyle name="20% - Accent1 2 4" xfId="336" xr:uid="{00000000-0005-0000-0000-000009000000}"/>
    <cellStyle name="20% - Accent1 2 4 2" xfId="543" xr:uid="{00000000-0005-0000-0000-00000A000000}"/>
    <cellStyle name="20% - Accent1 2 5" xfId="436" xr:uid="{00000000-0005-0000-0000-00000B000000}"/>
    <cellStyle name="20% - Accent1 3" xfId="60" xr:uid="{00000000-0005-0000-0000-00000C000000}"/>
    <cellStyle name="20% - Accent1 3 2" xfId="176" xr:uid="{00000000-0005-0000-0000-00000D000000}"/>
    <cellStyle name="20% - Accent1 3 2 2" xfId="544" xr:uid="{00000000-0005-0000-0000-00000E000000}"/>
    <cellStyle name="20% - Accent1 3 3" xfId="264" xr:uid="{00000000-0005-0000-0000-00000F000000}"/>
    <cellStyle name="20% - Accent1 3 3 2" xfId="545" xr:uid="{00000000-0005-0000-0000-000010000000}"/>
    <cellStyle name="20% - Accent1 3 4" xfId="347" xr:uid="{00000000-0005-0000-0000-000011000000}"/>
    <cellStyle name="20% - Accent1 3 4 2" xfId="546" xr:uid="{00000000-0005-0000-0000-000012000000}"/>
    <cellStyle name="20% - Accent1 3 5" xfId="447" xr:uid="{00000000-0005-0000-0000-000013000000}"/>
    <cellStyle name="20% - Accent1 4" xfId="59" xr:uid="{00000000-0005-0000-0000-000014000000}"/>
    <cellStyle name="20% - Accent1 4 2" xfId="175" xr:uid="{00000000-0005-0000-0000-000015000000}"/>
    <cellStyle name="20% - Accent1 4 2 2" xfId="547" xr:uid="{00000000-0005-0000-0000-000016000000}"/>
    <cellStyle name="20% - Accent1 4 3" xfId="263" xr:uid="{00000000-0005-0000-0000-000017000000}"/>
    <cellStyle name="20% - Accent1 4 3 2" xfId="548" xr:uid="{00000000-0005-0000-0000-000018000000}"/>
    <cellStyle name="20% - Accent1 4 4" xfId="346" xr:uid="{00000000-0005-0000-0000-000019000000}"/>
    <cellStyle name="20% - Accent1 4 4 2" xfId="549" xr:uid="{00000000-0005-0000-0000-00001A000000}"/>
    <cellStyle name="20% - Accent1 4 5" xfId="446" xr:uid="{00000000-0005-0000-0000-00001B000000}"/>
    <cellStyle name="20% - Accent1 5" xfId="90" xr:uid="{00000000-0005-0000-0000-00001C000000}"/>
    <cellStyle name="20% - Accent1 5 2" xfId="204" xr:uid="{00000000-0005-0000-0000-00001D000000}"/>
    <cellStyle name="20% - Accent1 5 2 2" xfId="550" xr:uid="{00000000-0005-0000-0000-00001E000000}"/>
    <cellStyle name="20% - Accent1 5 3" xfId="290" xr:uid="{00000000-0005-0000-0000-00001F000000}"/>
    <cellStyle name="20% - Accent1 5 3 2" xfId="551" xr:uid="{00000000-0005-0000-0000-000020000000}"/>
    <cellStyle name="20% - Accent1 5 4" xfId="372" xr:uid="{00000000-0005-0000-0000-000021000000}"/>
    <cellStyle name="20% - Accent1 5 4 2" xfId="552" xr:uid="{00000000-0005-0000-0000-000022000000}"/>
    <cellStyle name="20% - Accent1 5 5" xfId="472" xr:uid="{00000000-0005-0000-0000-000023000000}"/>
    <cellStyle name="20% - Accent1 6" xfId="104" xr:uid="{00000000-0005-0000-0000-000024000000}"/>
    <cellStyle name="20% - Accent1 6 2" xfId="217" xr:uid="{00000000-0005-0000-0000-000025000000}"/>
    <cellStyle name="20% - Accent1 6 2 2" xfId="553" xr:uid="{00000000-0005-0000-0000-000026000000}"/>
    <cellStyle name="20% - Accent1 6 3" xfId="303" xr:uid="{00000000-0005-0000-0000-000027000000}"/>
    <cellStyle name="20% - Accent1 6 3 2" xfId="554" xr:uid="{00000000-0005-0000-0000-000028000000}"/>
    <cellStyle name="20% - Accent1 6 4" xfId="385" xr:uid="{00000000-0005-0000-0000-000029000000}"/>
    <cellStyle name="20% - Accent1 6 4 2" xfId="555" xr:uid="{00000000-0005-0000-0000-00002A000000}"/>
    <cellStyle name="20% - Accent1 6 5" xfId="485" xr:uid="{00000000-0005-0000-0000-00002B000000}"/>
    <cellStyle name="20% - Accent1 7" xfId="120" xr:uid="{00000000-0005-0000-0000-00002C000000}"/>
    <cellStyle name="20% - Accent1 7 2" xfId="232" xr:uid="{00000000-0005-0000-0000-00002D000000}"/>
    <cellStyle name="20% - Accent1 7 2 2" xfId="556" xr:uid="{00000000-0005-0000-0000-00002E000000}"/>
    <cellStyle name="20% - Accent1 7 3" xfId="317" xr:uid="{00000000-0005-0000-0000-00002F000000}"/>
    <cellStyle name="20% - Accent1 7 3 2" xfId="557" xr:uid="{00000000-0005-0000-0000-000030000000}"/>
    <cellStyle name="20% - Accent1 7 4" xfId="399" xr:uid="{00000000-0005-0000-0000-000031000000}"/>
    <cellStyle name="20% - Accent1 7 4 2" xfId="558" xr:uid="{00000000-0005-0000-0000-000032000000}"/>
    <cellStyle name="20% - Accent1 7 5" xfId="500" xr:uid="{00000000-0005-0000-0000-000033000000}"/>
    <cellStyle name="20% - Accent1 8" xfId="138" xr:uid="{00000000-0005-0000-0000-000034000000}"/>
    <cellStyle name="20% - Accent1 8 2" xfId="515" xr:uid="{00000000-0005-0000-0000-000035000000}"/>
    <cellStyle name="20% - Accent1 9" xfId="202" xr:uid="{00000000-0005-0000-0000-000036000000}"/>
    <cellStyle name="20% - Accent1 9 2" xfId="528" xr:uid="{00000000-0005-0000-0000-000037000000}"/>
    <cellStyle name="20% - Accent2" xfId="22" builtinId="34" customBuiltin="1"/>
    <cellStyle name="20% - Accent2 10" xfId="159" xr:uid="{00000000-0005-0000-0000-000039000000}"/>
    <cellStyle name="20% - Accent2 10 2" xfId="559" xr:uid="{00000000-0005-0000-0000-00003A000000}"/>
    <cellStyle name="20% - Accent2 11" xfId="421" xr:uid="{00000000-0005-0000-0000-00003B000000}"/>
    <cellStyle name="20% - Accent2 2" xfId="53" xr:uid="{00000000-0005-0000-0000-00003C000000}"/>
    <cellStyle name="20% - Accent2 2 2" xfId="169" xr:uid="{00000000-0005-0000-0000-00003D000000}"/>
    <cellStyle name="20% - Accent2 2 2 2" xfId="560" xr:uid="{00000000-0005-0000-0000-00003E000000}"/>
    <cellStyle name="20% - Accent2 2 3" xfId="257" xr:uid="{00000000-0005-0000-0000-00003F000000}"/>
    <cellStyle name="20% - Accent2 2 3 2" xfId="561" xr:uid="{00000000-0005-0000-0000-000040000000}"/>
    <cellStyle name="20% - Accent2 2 4" xfId="340" xr:uid="{00000000-0005-0000-0000-000041000000}"/>
    <cellStyle name="20% - Accent2 2 4 2" xfId="562" xr:uid="{00000000-0005-0000-0000-000042000000}"/>
    <cellStyle name="20% - Accent2 2 5" xfId="440" xr:uid="{00000000-0005-0000-0000-000043000000}"/>
    <cellStyle name="20% - Accent2 3" xfId="68" xr:uid="{00000000-0005-0000-0000-000044000000}"/>
    <cellStyle name="20% - Accent2 3 2" xfId="184" xr:uid="{00000000-0005-0000-0000-000045000000}"/>
    <cellStyle name="20% - Accent2 3 2 2" xfId="563" xr:uid="{00000000-0005-0000-0000-000046000000}"/>
    <cellStyle name="20% - Accent2 3 3" xfId="272" xr:uid="{00000000-0005-0000-0000-000047000000}"/>
    <cellStyle name="20% - Accent2 3 3 2" xfId="564" xr:uid="{00000000-0005-0000-0000-000048000000}"/>
    <cellStyle name="20% - Accent2 3 4" xfId="355" xr:uid="{00000000-0005-0000-0000-000049000000}"/>
    <cellStyle name="20% - Accent2 3 4 2" xfId="565" xr:uid="{00000000-0005-0000-0000-00004A000000}"/>
    <cellStyle name="20% - Accent2 3 5" xfId="455" xr:uid="{00000000-0005-0000-0000-00004B000000}"/>
    <cellStyle name="20% - Accent2 4" xfId="75" xr:uid="{00000000-0005-0000-0000-00004C000000}"/>
    <cellStyle name="20% - Accent2 4 2" xfId="191" xr:uid="{00000000-0005-0000-0000-00004D000000}"/>
    <cellStyle name="20% - Accent2 4 2 2" xfId="566" xr:uid="{00000000-0005-0000-0000-00004E000000}"/>
    <cellStyle name="20% - Accent2 4 3" xfId="278" xr:uid="{00000000-0005-0000-0000-00004F000000}"/>
    <cellStyle name="20% - Accent2 4 3 2" xfId="567" xr:uid="{00000000-0005-0000-0000-000050000000}"/>
    <cellStyle name="20% - Accent2 4 4" xfId="361" xr:uid="{00000000-0005-0000-0000-000051000000}"/>
    <cellStyle name="20% - Accent2 4 4 2" xfId="568" xr:uid="{00000000-0005-0000-0000-000052000000}"/>
    <cellStyle name="20% - Accent2 4 5" xfId="461" xr:uid="{00000000-0005-0000-0000-000053000000}"/>
    <cellStyle name="20% - Accent2 5" xfId="92" xr:uid="{00000000-0005-0000-0000-000054000000}"/>
    <cellStyle name="20% - Accent2 5 2" xfId="206" xr:uid="{00000000-0005-0000-0000-000055000000}"/>
    <cellStyle name="20% - Accent2 5 2 2" xfId="569" xr:uid="{00000000-0005-0000-0000-000056000000}"/>
    <cellStyle name="20% - Accent2 5 3" xfId="292" xr:uid="{00000000-0005-0000-0000-000057000000}"/>
    <cellStyle name="20% - Accent2 5 3 2" xfId="570" xr:uid="{00000000-0005-0000-0000-000058000000}"/>
    <cellStyle name="20% - Accent2 5 4" xfId="374" xr:uid="{00000000-0005-0000-0000-000059000000}"/>
    <cellStyle name="20% - Accent2 5 4 2" xfId="571" xr:uid="{00000000-0005-0000-0000-00005A000000}"/>
    <cellStyle name="20% - Accent2 5 5" xfId="474" xr:uid="{00000000-0005-0000-0000-00005B000000}"/>
    <cellStyle name="20% - Accent2 6" xfId="106" xr:uid="{00000000-0005-0000-0000-00005C000000}"/>
    <cellStyle name="20% - Accent2 6 2" xfId="219" xr:uid="{00000000-0005-0000-0000-00005D000000}"/>
    <cellStyle name="20% - Accent2 6 2 2" xfId="572" xr:uid="{00000000-0005-0000-0000-00005E000000}"/>
    <cellStyle name="20% - Accent2 6 3" xfId="305" xr:uid="{00000000-0005-0000-0000-00005F000000}"/>
    <cellStyle name="20% - Accent2 6 3 2" xfId="573" xr:uid="{00000000-0005-0000-0000-000060000000}"/>
    <cellStyle name="20% - Accent2 6 4" xfId="387" xr:uid="{00000000-0005-0000-0000-000061000000}"/>
    <cellStyle name="20% - Accent2 6 4 2" xfId="574" xr:uid="{00000000-0005-0000-0000-000062000000}"/>
    <cellStyle name="20% - Accent2 6 5" xfId="487" xr:uid="{00000000-0005-0000-0000-000063000000}"/>
    <cellStyle name="20% - Accent2 7" xfId="122" xr:uid="{00000000-0005-0000-0000-000064000000}"/>
    <cellStyle name="20% - Accent2 7 2" xfId="234" xr:uid="{00000000-0005-0000-0000-000065000000}"/>
    <cellStyle name="20% - Accent2 7 2 2" xfId="575" xr:uid="{00000000-0005-0000-0000-000066000000}"/>
    <cellStyle name="20% - Accent2 7 3" xfId="319" xr:uid="{00000000-0005-0000-0000-000067000000}"/>
    <cellStyle name="20% - Accent2 7 3 2" xfId="576" xr:uid="{00000000-0005-0000-0000-000068000000}"/>
    <cellStyle name="20% - Accent2 7 4" xfId="401" xr:uid="{00000000-0005-0000-0000-000069000000}"/>
    <cellStyle name="20% - Accent2 7 4 2" xfId="577" xr:uid="{00000000-0005-0000-0000-00006A000000}"/>
    <cellStyle name="20% - Accent2 7 5" xfId="502" xr:uid="{00000000-0005-0000-0000-00006B000000}"/>
    <cellStyle name="20% - Accent2 8" xfId="142" xr:uid="{00000000-0005-0000-0000-00006C000000}"/>
    <cellStyle name="20% - Accent2 8 2" xfId="518" xr:uid="{00000000-0005-0000-0000-00006D000000}"/>
    <cellStyle name="20% - Accent2 9" xfId="136" xr:uid="{00000000-0005-0000-0000-00006E000000}"/>
    <cellStyle name="20% - Accent2 9 2" xfId="517" xr:uid="{00000000-0005-0000-0000-00006F000000}"/>
    <cellStyle name="20% - Accent3" xfId="26" builtinId="38" customBuiltin="1"/>
    <cellStyle name="20% - Accent3 10" xfId="141" xr:uid="{00000000-0005-0000-0000-000071000000}"/>
    <cellStyle name="20% - Accent3 10 2" xfId="578" xr:uid="{00000000-0005-0000-0000-000072000000}"/>
    <cellStyle name="20% - Accent3 11" xfId="423" xr:uid="{00000000-0005-0000-0000-000073000000}"/>
    <cellStyle name="20% - Accent3 2" xfId="57" xr:uid="{00000000-0005-0000-0000-000074000000}"/>
    <cellStyle name="20% - Accent3 2 2" xfId="173" xr:uid="{00000000-0005-0000-0000-000075000000}"/>
    <cellStyle name="20% - Accent3 2 2 2" xfId="579" xr:uid="{00000000-0005-0000-0000-000076000000}"/>
    <cellStyle name="20% - Accent3 2 3" xfId="261" xr:uid="{00000000-0005-0000-0000-000077000000}"/>
    <cellStyle name="20% - Accent3 2 3 2" xfId="580" xr:uid="{00000000-0005-0000-0000-000078000000}"/>
    <cellStyle name="20% - Accent3 2 4" xfId="344" xr:uid="{00000000-0005-0000-0000-000079000000}"/>
    <cellStyle name="20% - Accent3 2 4 2" xfId="581" xr:uid="{00000000-0005-0000-0000-00007A000000}"/>
    <cellStyle name="20% - Accent3 2 5" xfId="444" xr:uid="{00000000-0005-0000-0000-00007B000000}"/>
    <cellStyle name="20% - Accent3 3" xfId="55" xr:uid="{00000000-0005-0000-0000-00007C000000}"/>
    <cellStyle name="20% - Accent3 3 2" xfId="171" xr:uid="{00000000-0005-0000-0000-00007D000000}"/>
    <cellStyle name="20% - Accent3 3 2 2" xfId="582" xr:uid="{00000000-0005-0000-0000-00007E000000}"/>
    <cellStyle name="20% - Accent3 3 3" xfId="259" xr:uid="{00000000-0005-0000-0000-00007F000000}"/>
    <cellStyle name="20% - Accent3 3 3 2" xfId="583" xr:uid="{00000000-0005-0000-0000-000080000000}"/>
    <cellStyle name="20% - Accent3 3 4" xfId="342" xr:uid="{00000000-0005-0000-0000-000081000000}"/>
    <cellStyle name="20% - Accent3 3 4 2" xfId="584" xr:uid="{00000000-0005-0000-0000-000082000000}"/>
    <cellStyle name="20% - Accent3 3 5" xfId="442" xr:uid="{00000000-0005-0000-0000-000083000000}"/>
    <cellStyle name="20% - Accent3 4" xfId="52" xr:uid="{00000000-0005-0000-0000-000084000000}"/>
    <cellStyle name="20% - Accent3 4 2" xfId="168" xr:uid="{00000000-0005-0000-0000-000085000000}"/>
    <cellStyle name="20% - Accent3 4 2 2" xfId="585" xr:uid="{00000000-0005-0000-0000-000086000000}"/>
    <cellStyle name="20% - Accent3 4 3" xfId="256" xr:uid="{00000000-0005-0000-0000-000087000000}"/>
    <cellStyle name="20% - Accent3 4 3 2" xfId="586" xr:uid="{00000000-0005-0000-0000-000088000000}"/>
    <cellStyle name="20% - Accent3 4 4" xfId="339" xr:uid="{00000000-0005-0000-0000-000089000000}"/>
    <cellStyle name="20% - Accent3 4 4 2" xfId="587" xr:uid="{00000000-0005-0000-0000-00008A000000}"/>
    <cellStyle name="20% - Accent3 4 5" xfId="439" xr:uid="{00000000-0005-0000-0000-00008B000000}"/>
    <cellStyle name="20% - Accent3 5" xfId="94" xr:uid="{00000000-0005-0000-0000-00008C000000}"/>
    <cellStyle name="20% - Accent3 5 2" xfId="208" xr:uid="{00000000-0005-0000-0000-00008D000000}"/>
    <cellStyle name="20% - Accent3 5 2 2" xfId="588" xr:uid="{00000000-0005-0000-0000-00008E000000}"/>
    <cellStyle name="20% - Accent3 5 3" xfId="294" xr:uid="{00000000-0005-0000-0000-00008F000000}"/>
    <cellStyle name="20% - Accent3 5 3 2" xfId="589" xr:uid="{00000000-0005-0000-0000-000090000000}"/>
    <cellStyle name="20% - Accent3 5 4" xfId="376" xr:uid="{00000000-0005-0000-0000-000091000000}"/>
    <cellStyle name="20% - Accent3 5 4 2" xfId="590" xr:uid="{00000000-0005-0000-0000-000092000000}"/>
    <cellStyle name="20% - Accent3 5 5" xfId="476" xr:uid="{00000000-0005-0000-0000-000093000000}"/>
    <cellStyle name="20% - Accent3 6" xfId="108" xr:uid="{00000000-0005-0000-0000-000094000000}"/>
    <cellStyle name="20% - Accent3 6 2" xfId="221" xr:uid="{00000000-0005-0000-0000-000095000000}"/>
    <cellStyle name="20% - Accent3 6 2 2" xfId="591" xr:uid="{00000000-0005-0000-0000-000096000000}"/>
    <cellStyle name="20% - Accent3 6 3" xfId="307" xr:uid="{00000000-0005-0000-0000-000097000000}"/>
    <cellStyle name="20% - Accent3 6 3 2" xfId="592" xr:uid="{00000000-0005-0000-0000-000098000000}"/>
    <cellStyle name="20% - Accent3 6 4" xfId="389" xr:uid="{00000000-0005-0000-0000-000099000000}"/>
    <cellStyle name="20% - Accent3 6 4 2" xfId="593" xr:uid="{00000000-0005-0000-0000-00009A000000}"/>
    <cellStyle name="20% - Accent3 6 5" xfId="489" xr:uid="{00000000-0005-0000-0000-00009B000000}"/>
    <cellStyle name="20% - Accent3 7" xfId="124" xr:uid="{00000000-0005-0000-0000-00009C000000}"/>
    <cellStyle name="20% - Accent3 7 2" xfId="236" xr:uid="{00000000-0005-0000-0000-00009D000000}"/>
    <cellStyle name="20% - Accent3 7 2 2" xfId="594" xr:uid="{00000000-0005-0000-0000-00009E000000}"/>
    <cellStyle name="20% - Accent3 7 3" xfId="321" xr:uid="{00000000-0005-0000-0000-00009F000000}"/>
    <cellStyle name="20% - Accent3 7 3 2" xfId="595" xr:uid="{00000000-0005-0000-0000-0000A0000000}"/>
    <cellStyle name="20% - Accent3 7 4" xfId="403" xr:uid="{00000000-0005-0000-0000-0000A1000000}"/>
    <cellStyle name="20% - Accent3 7 4 2" xfId="596" xr:uid="{00000000-0005-0000-0000-0000A2000000}"/>
    <cellStyle name="20% - Accent3 7 5" xfId="504" xr:uid="{00000000-0005-0000-0000-0000A3000000}"/>
    <cellStyle name="20% - Accent3 8" xfId="145" xr:uid="{00000000-0005-0000-0000-0000A4000000}"/>
    <cellStyle name="20% - Accent3 8 2" xfId="521" xr:uid="{00000000-0005-0000-0000-0000A5000000}"/>
    <cellStyle name="20% - Accent3 9" xfId="151" xr:uid="{00000000-0005-0000-0000-0000A6000000}"/>
    <cellStyle name="20% - Accent3 9 2" xfId="532" xr:uid="{00000000-0005-0000-0000-0000A7000000}"/>
    <cellStyle name="20% - Accent4" xfId="30" builtinId="42" customBuiltin="1"/>
    <cellStyle name="20% - Accent4 10" xfId="246" xr:uid="{00000000-0005-0000-0000-0000A9000000}"/>
    <cellStyle name="20% - Accent4 10 2" xfId="597" xr:uid="{00000000-0005-0000-0000-0000AA000000}"/>
    <cellStyle name="20% - Accent4 11" xfId="425" xr:uid="{00000000-0005-0000-0000-0000AB000000}"/>
    <cellStyle name="20% - Accent4 2" xfId="61" xr:uid="{00000000-0005-0000-0000-0000AC000000}"/>
    <cellStyle name="20% - Accent4 2 2" xfId="177" xr:uid="{00000000-0005-0000-0000-0000AD000000}"/>
    <cellStyle name="20% - Accent4 2 2 2" xfId="598" xr:uid="{00000000-0005-0000-0000-0000AE000000}"/>
    <cellStyle name="20% - Accent4 2 3" xfId="265" xr:uid="{00000000-0005-0000-0000-0000AF000000}"/>
    <cellStyle name="20% - Accent4 2 3 2" xfId="599" xr:uid="{00000000-0005-0000-0000-0000B0000000}"/>
    <cellStyle name="20% - Accent4 2 4" xfId="348" xr:uid="{00000000-0005-0000-0000-0000B1000000}"/>
    <cellStyle name="20% - Accent4 2 4 2" xfId="600" xr:uid="{00000000-0005-0000-0000-0000B2000000}"/>
    <cellStyle name="20% - Accent4 2 5" xfId="448" xr:uid="{00000000-0005-0000-0000-0000B3000000}"/>
    <cellStyle name="20% - Accent4 3" xfId="70" xr:uid="{00000000-0005-0000-0000-0000B4000000}"/>
    <cellStyle name="20% - Accent4 3 2" xfId="186" xr:uid="{00000000-0005-0000-0000-0000B5000000}"/>
    <cellStyle name="20% - Accent4 3 2 2" xfId="601" xr:uid="{00000000-0005-0000-0000-0000B6000000}"/>
    <cellStyle name="20% - Accent4 3 3" xfId="273" xr:uid="{00000000-0005-0000-0000-0000B7000000}"/>
    <cellStyle name="20% - Accent4 3 3 2" xfId="602" xr:uid="{00000000-0005-0000-0000-0000B8000000}"/>
    <cellStyle name="20% - Accent4 3 4" xfId="356" xr:uid="{00000000-0005-0000-0000-0000B9000000}"/>
    <cellStyle name="20% - Accent4 3 4 2" xfId="603" xr:uid="{00000000-0005-0000-0000-0000BA000000}"/>
    <cellStyle name="20% - Accent4 3 5" xfId="456" xr:uid="{00000000-0005-0000-0000-0000BB000000}"/>
    <cellStyle name="20% - Accent4 4" xfId="81" xr:uid="{00000000-0005-0000-0000-0000BC000000}"/>
    <cellStyle name="20% - Accent4 4 2" xfId="196" xr:uid="{00000000-0005-0000-0000-0000BD000000}"/>
    <cellStyle name="20% - Accent4 4 2 2" xfId="604" xr:uid="{00000000-0005-0000-0000-0000BE000000}"/>
    <cellStyle name="20% - Accent4 4 3" xfId="283" xr:uid="{00000000-0005-0000-0000-0000BF000000}"/>
    <cellStyle name="20% - Accent4 4 3 2" xfId="605" xr:uid="{00000000-0005-0000-0000-0000C0000000}"/>
    <cellStyle name="20% - Accent4 4 4" xfId="365" xr:uid="{00000000-0005-0000-0000-0000C1000000}"/>
    <cellStyle name="20% - Accent4 4 4 2" xfId="606" xr:uid="{00000000-0005-0000-0000-0000C2000000}"/>
    <cellStyle name="20% - Accent4 4 5" xfId="465" xr:uid="{00000000-0005-0000-0000-0000C3000000}"/>
    <cellStyle name="20% - Accent4 5" xfId="96" xr:uid="{00000000-0005-0000-0000-0000C4000000}"/>
    <cellStyle name="20% - Accent4 5 2" xfId="210" xr:uid="{00000000-0005-0000-0000-0000C5000000}"/>
    <cellStyle name="20% - Accent4 5 2 2" xfId="607" xr:uid="{00000000-0005-0000-0000-0000C6000000}"/>
    <cellStyle name="20% - Accent4 5 3" xfId="296" xr:uid="{00000000-0005-0000-0000-0000C7000000}"/>
    <cellStyle name="20% - Accent4 5 3 2" xfId="608" xr:uid="{00000000-0005-0000-0000-0000C8000000}"/>
    <cellStyle name="20% - Accent4 5 4" xfId="378" xr:uid="{00000000-0005-0000-0000-0000C9000000}"/>
    <cellStyle name="20% - Accent4 5 4 2" xfId="609" xr:uid="{00000000-0005-0000-0000-0000CA000000}"/>
    <cellStyle name="20% - Accent4 5 5" xfId="478" xr:uid="{00000000-0005-0000-0000-0000CB000000}"/>
    <cellStyle name="20% - Accent4 6" xfId="110" xr:uid="{00000000-0005-0000-0000-0000CC000000}"/>
    <cellStyle name="20% - Accent4 6 2" xfId="223" xr:uid="{00000000-0005-0000-0000-0000CD000000}"/>
    <cellStyle name="20% - Accent4 6 2 2" xfId="610" xr:uid="{00000000-0005-0000-0000-0000CE000000}"/>
    <cellStyle name="20% - Accent4 6 3" xfId="309" xr:uid="{00000000-0005-0000-0000-0000CF000000}"/>
    <cellStyle name="20% - Accent4 6 3 2" xfId="611" xr:uid="{00000000-0005-0000-0000-0000D0000000}"/>
    <cellStyle name="20% - Accent4 6 4" xfId="391" xr:uid="{00000000-0005-0000-0000-0000D1000000}"/>
    <cellStyle name="20% - Accent4 6 4 2" xfId="612" xr:uid="{00000000-0005-0000-0000-0000D2000000}"/>
    <cellStyle name="20% - Accent4 6 5" xfId="491" xr:uid="{00000000-0005-0000-0000-0000D3000000}"/>
    <cellStyle name="20% - Accent4 7" xfId="126" xr:uid="{00000000-0005-0000-0000-0000D4000000}"/>
    <cellStyle name="20% - Accent4 7 2" xfId="238" xr:uid="{00000000-0005-0000-0000-0000D5000000}"/>
    <cellStyle name="20% - Accent4 7 2 2" xfId="613" xr:uid="{00000000-0005-0000-0000-0000D6000000}"/>
    <cellStyle name="20% - Accent4 7 3" xfId="323" xr:uid="{00000000-0005-0000-0000-0000D7000000}"/>
    <cellStyle name="20% - Accent4 7 3 2" xfId="614" xr:uid="{00000000-0005-0000-0000-0000D8000000}"/>
    <cellStyle name="20% - Accent4 7 4" xfId="405" xr:uid="{00000000-0005-0000-0000-0000D9000000}"/>
    <cellStyle name="20% - Accent4 7 4 2" xfId="615" xr:uid="{00000000-0005-0000-0000-0000DA000000}"/>
    <cellStyle name="20% - Accent4 7 5" xfId="506" xr:uid="{00000000-0005-0000-0000-0000DB000000}"/>
    <cellStyle name="20% - Accent4 8" xfId="149" xr:uid="{00000000-0005-0000-0000-0000DC000000}"/>
    <cellStyle name="20% - Accent4 8 2" xfId="523" xr:uid="{00000000-0005-0000-0000-0000DD000000}"/>
    <cellStyle name="20% - Accent4 9" xfId="137" xr:uid="{00000000-0005-0000-0000-0000DE000000}"/>
    <cellStyle name="20% - Accent4 9 2" xfId="534" xr:uid="{00000000-0005-0000-0000-0000DF000000}"/>
    <cellStyle name="20% - Accent5" xfId="34" builtinId="46" customBuiltin="1"/>
    <cellStyle name="20% - Accent5 10" xfId="134" xr:uid="{00000000-0005-0000-0000-0000E1000000}"/>
    <cellStyle name="20% - Accent5 10 2" xfId="616" xr:uid="{00000000-0005-0000-0000-0000E2000000}"/>
    <cellStyle name="20% - Accent5 11" xfId="427" xr:uid="{00000000-0005-0000-0000-0000E3000000}"/>
    <cellStyle name="20% - Accent5 2" xfId="63" xr:uid="{00000000-0005-0000-0000-0000E4000000}"/>
    <cellStyle name="20% - Accent5 2 2" xfId="179" xr:uid="{00000000-0005-0000-0000-0000E5000000}"/>
    <cellStyle name="20% - Accent5 2 2 2" xfId="617" xr:uid="{00000000-0005-0000-0000-0000E6000000}"/>
    <cellStyle name="20% - Accent5 2 3" xfId="267" xr:uid="{00000000-0005-0000-0000-0000E7000000}"/>
    <cellStyle name="20% - Accent5 2 3 2" xfId="618" xr:uid="{00000000-0005-0000-0000-0000E8000000}"/>
    <cellStyle name="20% - Accent5 2 4" xfId="350" xr:uid="{00000000-0005-0000-0000-0000E9000000}"/>
    <cellStyle name="20% - Accent5 2 4 2" xfId="619" xr:uid="{00000000-0005-0000-0000-0000EA000000}"/>
    <cellStyle name="20% - Accent5 2 5" xfId="450" xr:uid="{00000000-0005-0000-0000-0000EB000000}"/>
    <cellStyle name="20% - Accent5 3" xfId="73" xr:uid="{00000000-0005-0000-0000-0000EC000000}"/>
    <cellStyle name="20% - Accent5 3 2" xfId="189" xr:uid="{00000000-0005-0000-0000-0000ED000000}"/>
    <cellStyle name="20% - Accent5 3 2 2" xfId="620" xr:uid="{00000000-0005-0000-0000-0000EE000000}"/>
    <cellStyle name="20% - Accent5 3 3" xfId="276" xr:uid="{00000000-0005-0000-0000-0000EF000000}"/>
    <cellStyle name="20% - Accent5 3 3 2" xfId="621" xr:uid="{00000000-0005-0000-0000-0000F0000000}"/>
    <cellStyle name="20% - Accent5 3 4" xfId="359" xr:uid="{00000000-0005-0000-0000-0000F1000000}"/>
    <cellStyle name="20% - Accent5 3 4 2" xfId="622" xr:uid="{00000000-0005-0000-0000-0000F2000000}"/>
    <cellStyle name="20% - Accent5 3 5" xfId="459" xr:uid="{00000000-0005-0000-0000-0000F3000000}"/>
    <cellStyle name="20% - Accent5 4" xfId="83" xr:uid="{00000000-0005-0000-0000-0000F4000000}"/>
    <cellStyle name="20% - Accent5 4 2" xfId="198" xr:uid="{00000000-0005-0000-0000-0000F5000000}"/>
    <cellStyle name="20% - Accent5 4 2 2" xfId="623" xr:uid="{00000000-0005-0000-0000-0000F6000000}"/>
    <cellStyle name="20% - Accent5 4 3" xfId="285" xr:uid="{00000000-0005-0000-0000-0000F7000000}"/>
    <cellStyle name="20% - Accent5 4 3 2" xfId="624" xr:uid="{00000000-0005-0000-0000-0000F8000000}"/>
    <cellStyle name="20% - Accent5 4 4" xfId="367" xr:uid="{00000000-0005-0000-0000-0000F9000000}"/>
    <cellStyle name="20% - Accent5 4 4 2" xfId="625" xr:uid="{00000000-0005-0000-0000-0000FA000000}"/>
    <cellStyle name="20% - Accent5 4 5" xfId="467" xr:uid="{00000000-0005-0000-0000-0000FB000000}"/>
    <cellStyle name="20% - Accent5 5" xfId="98" xr:uid="{00000000-0005-0000-0000-0000FC000000}"/>
    <cellStyle name="20% - Accent5 5 2" xfId="212" xr:uid="{00000000-0005-0000-0000-0000FD000000}"/>
    <cellStyle name="20% - Accent5 5 2 2" xfId="626" xr:uid="{00000000-0005-0000-0000-0000FE000000}"/>
    <cellStyle name="20% - Accent5 5 3" xfId="298" xr:uid="{00000000-0005-0000-0000-0000FF000000}"/>
    <cellStyle name="20% - Accent5 5 3 2" xfId="627" xr:uid="{00000000-0005-0000-0000-000000010000}"/>
    <cellStyle name="20% - Accent5 5 4" xfId="380" xr:uid="{00000000-0005-0000-0000-000001010000}"/>
    <cellStyle name="20% - Accent5 5 4 2" xfId="628" xr:uid="{00000000-0005-0000-0000-000002010000}"/>
    <cellStyle name="20% - Accent5 5 5" xfId="480" xr:uid="{00000000-0005-0000-0000-000003010000}"/>
    <cellStyle name="20% - Accent5 6" xfId="112" xr:uid="{00000000-0005-0000-0000-000004010000}"/>
    <cellStyle name="20% - Accent5 6 2" xfId="225" xr:uid="{00000000-0005-0000-0000-000005010000}"/>
    <cellStyle name="20% - Accent5 6 2 2" xfId="629" xr:uid="{00000000-0005-0000-0000-000006010000}"/>
    <cellStyle name="20% - Accent5 6 3" xfId="311" xr:uid="{00000000-0005-0000-0000-000007010000}"/>
    <cellStyle name="20% - Accent5 6 3 2" xfId="630" xr:uid="{00000000-0005-0000-0000-000008010000}"/>
    <cellStyle name="20% - Accent5 6 4" xfId="393" xr:uid="{00000000-0005-0000-0000-000009010000}"/>
    <cellStyle name="20% - Accent5 6 4 2" xfId="631" xr:uid="{00000000-0005-0000-0000-00000A010000}"/>
    <cellStyle name="20% - Accent5 6 5" xfId="493" xr:uid="{00000000-0005-0000-0000-00000B010000}"/>
    <cellStyle name="20% - Accent5 7" xfId="128" xr:uid="{00000000-0005-0000-0000-00000C010000}"/>
    <cellStyle name="20% - Accent5 7 2" xfId="240" xr:uid="{00000000-0005-0000-0000-00000D010000}"/>
    <cellStyle name="20% - Accent5 7 2 2" xfId="632" xr:uid="{00000000-0005-0000-0000-00000E010000}"/>
    <cellStyle name="20% - Accent5 7 3" xfId="325" xr:uid="{00000000-0005-0000-0000-00000F010000}"/>
    <cellStyle name="20% - Accent5 7 3 2" xfId="633" xr:uid="{00000000-0005-0000-0000-000010010000}"/>
    <cellStyle name="20% - Accent5 7 4" xfId="407" xr:uid="{00000000-0005-0000-0000-000011010000}"/>
    <cellStyle name="20% - Accent5 7 4 2" xfId="634" xr:uid="{00000000-0005-0000-0000-000012010000}"/>
    <cellStyle name="20% - Accent5 7 5" xfId="508" xr:uid="{00000000-0005-0000-0000-000013010000}"/>
    <cellStyle name="20% - Accent5 8" xfId="152" xr:uid="{00000000-0005-0000-0000-000014010000}"/>
    <cellStyle name="20% - Accent5 8 2" xfId="526" xr:uid="{00000000-0005-0000-0000-000015010000}"/>
    <cellStyle name="20% - Accent5 9" xfId="147" xr:uid="{00000000-0005-0000-0000-000016010000}"/>
    <cellStyle name="20% - Accent5 9 2" xfId="536" xr:uid="{00000000-0005-0000-0000-000017010000}"/>
    <cellStyle name="20% - Accent6" xfId="38" builtinId="50" customBuiltin="1"/>
    <cellStyle name="20% - Accent6 10" xfId="329" xr:uid="{00000000-0005-0000-0000-000019010000}"/>
    <cellStyle name="20% - Accent6 10 2" xfId="635" xr:uid="{00000000-0005-0000-0000-00001A010000}"/>
    <cellStyle name="20% - Accent6 11" xfId="429" xr:uid="{00000000-0005-0000-0000-00001B010000}"/>
    <cellStyle name="20% - Accent6 2" xfId="66" xr:uid="{00000000-0005-0000-0000-00001C010000}"/>
    <cellStyle name="20% - Accent6 2 2" xfId="182" xr:uid="{00000000-0005-0000-0000-00001D010000}"/>
    <cellStyle name="20% - Accent6 2 2 2" xfId="636" xr:uid="{00000000-0005-0000-0000-00001E010000}"/>
    <cellStyle name="20% - Accent6 2 3" xfId="270" xr:uid="{00000000-0005-0000-0000-00001F010000}"/>
    <cellStyle name="20% - Accent6 2 3 2" xfId="637" xr:uid="{00000000-0005-0000-0000-000020010000}"/>
    <cellStyle name="20% - Accent6 2 4" xfId="353" xr:uid="{00000000-0005-0000-0000-000021010000}"/>
    <cellStyle name="20% - Accent6 2 4 2" xfId="638" xr:uid="{00000000-0005-0000-0000-000022010000}"/>
    <cellStyle name="20% - Accent6 2 5" xfId="453" xr:uid="{00000000-0005-0000-0000-000023010000}"/>
    <cellStyle name="20% - Accent6 3" xfId="76" xr:uid="{00000000-0005-0000-0000-000024010000}"/>
    <cellStyle name="20% - Accent6 3 2" xfId="192" xr:uid="{00000000-0005-0000-0000-000025010000}"/>
    <cellStyle name="20% - Accent6 3 2 2" xfId="639" xr:uid="{00000000-0005-0000-0000-000026010000}"/>
    <cellStyle name="20% - Accent6 3 3" xfId="279" xr:uid="{00000000-0005-0000-0000-000027010000}"/>
    <cellStyle name="20% - Accent6 3 3 2" xfId="640" xr:uid="{00000000-0005-0000-0000-000028010000}"/>
    <cellStyle name="20% - Accent6 3 4" xfId="362" xr:uid="{00000000-0005-0000-0000-000029010000}"/>
    <cellStyle name="20% - Accent6 3 4 2" xfId="641" xr:uid="{00000000-0005-0000-0000-00002A010000}"/>
    <cellStyle name="20% - Accent6 3 5" xfId="462" xr:uid="{00000000-0005-0000-0000-00002B010000}"/>
    <cellStyle name="20% - Accent6 4" xfId="85" xr:uid="{00000000-0005-0000-0000-00002C010000}"/>
    <cellStyle name="20% - Accent6 4 2" xfId="200" xr:uid="{00000000-0005-0000-0000-00002D010000}"/>
    <cellStyle name="20% - Accent6 4 2 2" xfId="642" xr:uid="{00000000-0005-0000-0000-00002E010000}"/>
    <cellStyle name="20% - Accent6 4 3" xfId="287" xr:uid="{00000000-0005-0000-0000-00002F010000}"/>
    <cellStyle name="20% - Accent6 4 3 2" xfId="643" xr:uid="{00000000-0005-0000-0000-000030010000}"/>
    <cellStyle name="20% - Accent6 4 4" xfId="369" xr:uid="{00000000-0005-0000-0000-000031010000}"/>
    <cellStyle name="20% - Accent6 4 4 2" xfId="644" xr:uid="{00000000-0005-0000-0000-000032010000}"/>
    <cellStyle name="20% - Accent6 4 5" xfId="469" xr:uid="{00000000-0005-0000-0000-000033010000}"/>
    <cellStyle name="20% - Accent6 5" xfId="100" xr:uid="{00000000-0005-0000-0000-000034010000}"/>
    <cellStyle name="20% - Accent6 5 2" xfId="214" xr:uid="{00000000-0005-0000-0000-000035010000}"/>
    <cellStyle name="20% - Accent6 5 2 2" xfId="645" xr:uid="{00000000-0005-0000-0000-000036010000}"/>
    <cellStyle name="20% - Accent6 5 3" xfId="300" xr:uid="{00000000-0005-0000-0000-000037010000}"/>
    <cellStyle name="20% - Accent6 5 3 2" xfId="646" xr:uid="{00000000-0005-0000-0000-000038010000}"/>
    <cellStyle name="20% - Accent6 5 4" xfId="382" xr:uid="{00000000-0005-0000-0000-000039010000}"/>
    <cellStyle name="20% - Accent6 5 4 2" xfId="647" xr:uid="{00000000-0005-0000-0000-00003A010000}"/>
    <cellStyle name="20% - Accent6 5 5" xfId="482" xr:uid="{00000000-0005-0000-0000-00003B010000}"/>
    <cellStyle name="20% - Accent6 6" xfId="114" xr:uid="{00000000-0005-0000-0000-00003C010000}"/>
    <cellStyle name="20% - Accent6 6 2" xfId="227" xr:uid="{00000000-0005-0000-0000-00003D010000}"/>
    <cellStyle name="20% - Accent6 6 2 2" xfId="648" xr:uid="{00000000-0005-0000-0000-00003E010000}"/>
    <cellStyle name="20% - Accent6 6 3" xfId="313" xr:uid="{00000000-0005-0000-0000-00003F010000}"/>
    <cellStyle name="20% - Accent6 6 3 2" xfId="649" xr:uid="{00000000-0005-0000-0000-000040010000}"/>
    <cellStyle name="20% - Accent6 6 4" xfId="395" xr:uid="{00000000-0005-0000-0000-000041010000}"/>
    <cellStyle name="20% - Accent6 6 4 2" xfId="650" xr:uid="{00000000-0005-0000-0000-000042010000}"/>
    <cellStyle name="20% - Accent6 6 5" xfId="495" xr:uid="{00000000-0005-0000-0000-000043010000}"/>
    <cellStyle name="20% - Accent6 7" xfId="130" xr:uid="{00000000-0005-0000-0000-000044010000}"/>
    <cellStyle name="20% - Accent6 7 2" xfId="242" xr:uid="{00000000-0005-0000-0000-000045010000}"/>
    <cellStyle name="20% - Accent6 7 2 2" xfId="651" xr:uid="{00000000-0005-0000-0000-000046010000}"/>
    <cellStyle name="20% - Accent6 7 3" xfId="327" xr:uid="{00000000-0005-0000-0000-000047010000}"/>
    <cellStyle name="20% - Accent6 7 3 2" xfId="652" xr:uid="{00000000-0005-0000-0000-000048010000}"/>
    <cellStyle name="20% - Accent6 7 4" xfId="409" xr:uid="{00000000-0005-0000-0000-000049010000}"/>
    <cellStyle name="20% - Accent6 7 4 2" xfId="653" xr:uid="{00000000-0005-0000-0000-00004A010000}"/>
    <cellStyle name="20% - Accent6 7 5" xfId="510" xr:uid="{00000000-0005-0000-0000-00004B010000}"/>
    <cellStyle name="20% - Accent6 8" xfId="155" xr:uid="{00000000-0005-0000-0000-00004C010000}"/>
    <cellStyle name="20% - Accent6 8 2" xfId="529" xr:uid="{00000000-0005-0000-0000-00004D010000}"/>
    <cellStyle name="20% - Accent6 9" xfId="244" xr:uid="{00000000-0005-0000-0000-00004E010000}"/>
    <cellStyle name="20% - Accent6 9 2" xfId="538" xr:uid="{00000000-0005-0000-0000-00004F010000}"/>
    <cellStyle name="40% - Accent1" xfId="19" builtinId="31" customBuiltin="1"/>
    <cellStyle name="40% - Accent1 10" xfId="248" xr:uid="{00000000-0005-0000-0000-000051010000}"/>
    <cellStyle name="40% - Accent1 10 2" xfId="654" xr:uid="{00000000-0005-0000-0000-000052010000}"/>
    <cellStyle name="40% - Accent1 11" xfId="420" xr:uid="{00000000-0005-0000-0000-000053010000}"/>
    <cellStyle name="40% - Accent1 2" xfId="50" xr:uid="{00000000-0005-0000-0000-000054010000}"/>
    <cellStyle name="40% - Accent1 2 2" xfId="166" xr:uid="{00000000-0005-0000-0000-000055010000}"/>
    <cellStyle name="40% - Accent1 2 2 2" xfId="655" xr:uid="{00000000-0005-0000-0000-000056010000}"/>
    <cellStyle name="40% - Accent1 2 3" xfId="254" xr:uid="{00000000-0005-0000-0000-000057010000}"/>
    <cellStyle name="40% - Accent1 2 3 2" xfId="656" xr:uid="{00000000-0005-0000-0000-000058010000}"/>
    <cellStyle name="40% - Accent1 2 4" xfId="337" xr:uid="{00000000-0005-0000-0000-000059010000}"/>
    <cellStyle name="40% - Accent1 2 4 2" xfId="657" xr:uid="{00000000-0005-0000-0000-00005A010000}"/>
    <cellStyle name="40% - Accent1 2 5" xfId="437" xr:uid="{00000000-0005-0000-0000-00005B010000}"/>
    <cellStyle name="40% - Accent1 3" xfId="56" xr:uid="{00000000-0005-0000-0000-00005C010000}"/>
    <cellStyle name="40% - Accent1 3 2" xfId="172" xr:uid="{00000000-0005-0000-0000-00005D010000}"/>
    <cellStyle name="40% - Accent1 3 2 2" xfId="658" xr:uid="{00000000-0005-0000-0000-00005E010000}"/>
    <cellStyle name="40% - Accent1 3 3" xfId="260" xr:uid="{00000000-0005-0000-0000-00005F010000}"/>
    <cellStyle name="40% - Accent1 3 3 2" xfId="659" xr:uid="{00000000-0005-0000-0000-000060010000}"/>
    <cellStyle name="40% - Accent1 3 4" xfId="343" xr:uid="{00000000-0005-0000-0000-000061010000}"/>
    <cellStyle name="40% - Accent1 3 4 2" xfId="660" xr:uid="{00000000-0005-0000-0000-000062010000}"/>
    <cellStyle name="40% - Accent1 3 5" xfId="443" xr:uid="{00000000-0005-0000-0000-000063010000}"/>
    <cellStyle name="40% - Accent1 4" xfId="48" xr:uid="{00000000-0005-0000-0000-000064010000}"/>
    <cellStyle name="40% - Accent1 4 2" xfId="164" xr:uid="{00000000-0005-0000-0000-000065010000}"/>
    <cellStyle name="40% - Accent1 4 2 2" xfId="661" xr:uid="{00000000-0005-0000-0000-000066010000}"/>
    <cellStyle name="40% - Accent1 4 3" xfId="252" xr:uid="{00000000-0005-0000-0000-000067010000}"/>
    <cellStyle name="40% - Accent1 4 3 2" xfId="662" xr:uid="{00000000-0005-0000-0000-000068010000}"/>
    <cellStyle name="40% - Accent1 4 4" xfId="335" xr:uid="{00000000-0005-0000-0000-000069010000}"/>
    <cellStyle name="40% - Accent1 4 4 2" xfId="663" xr:uid="{00000000-0005-0000-0000-00006A010000}"/>
    <cellStyle name="40% - Accent1 4 5" xfId="435" xr:uid="{00000000-0005-0000-0000-00006B010000}"/>
    <cellStyle name="40% - Accent1 5" xfId="91" xr:uid="{00000000-0005-0000-0000-00006C010000}"/>
    <cellStyle name="40% - Accent1 5 2" xfId="205" xr:uid="{00000000-0005-0000-0000-00006D010000}"/>
    <cellStyle name="40% - Accent1 5 2 2" xfId="664" xr:uid="{00000000-0005-0000-0000-00006E010000}"/>
    <cellStyle name="40% - Accent1 5 3" xfId="291" xr:uid="{00000000-0005-0000-0000-00006F010000}"/>
    <cellStyle name="40% - Accent1 5 3 2" xfId="665" xr:uid="{00000000-0005-0000-0000-000070010000}"/>
    <cellStyle name="40% - Accent1 5 4" xfId="373" xr:uid="{00000000-0005-0000-0000-000071010000}"/>
    <cellStyle name="40% - Accent1 5 4 2" xfId="666" xr:uid="{00000000-0005-0000-0000-000072010000}"/>
    <cellStyle name="40% - Accent1 5 5" xfId="473" xr:uid="{00000000-0005-0000-0000-000073010000}"/>
    <cellStyle name="40% - Accent1 6" xfId="105" xr:uid="{00000000-0005-0000-0000-000074010000}"/>
    <cellStyle name="40% - Accent1 6 2" xfId="218" xr:uid="{00000000-0005-0000-0000-000075010000}"/>
    <cellStyle name="40% - Accent1 6 2 2" xfId="667" xr:uid="{00000000-0005-0000-0000-000076010000}"/>
    <cellStyle name="40% - Accent1 6 3" xfId="304" xr:uid="{00000000-0005-0000-0000-000077010000}"/>
    <cellStyle name="40% - Accent1 6 3 2" xfId="668" xr:uid="{00000000-0005-0000-0000-000078010000}"/>
    <cellStyle name="40% - Accent1 6 4" xfId="386" xr:uid="{00000000-0005-0000-0000-000079010000}"/>
    <cellStyle name="40% - Accent1 6 4 2" xfId="669" xr:uid="{00000000-0005-0000-0000-00007A010000}"/>
    <cellStyle name="40% - Accent1 6 5" xfId="486" xr:uid="{00000000-0005-0000-0000-00007B010000}"/>
    <cellStyle name="40% - Accent1 7" xfId="121" xr:uid="{00000000-0005-0000-0000-00007C010000}"/>
    <cellStyle name="40% - Accent1 7 2" xfId="233" xr:uid="{00000000-0005-0000-0000-00007D010000}"/>
    <cellStyle name="40% - Accent1 7 2 2" xfId="670" xr:uid="{00000000-0005-0000-0000-00007E010000}"/>
    <cellStyle name="40% - Accent1 7 3" xfId="318" xr:uid="{00000000-0005-0000-0000-00007F010000}"/>
    <cellStyle name="40% - Accent1 7 3 2" xfId="671" xr:uid="{00000000-0005-0000-0000-000080010000}"/>
    <cellStyle name="40% - Accent1 7 4" xfId="400" xr:uid="{00000000-0005-0000-0000-000081010000}"/>
    <cellStyle name="40% - Accent1 7 4 2" xfId="672" xr:uid="{00000000-0005-0000-0000-000082010000}"/>
    <cellStyle name="40% - Accent1 7 5" xfId="501" xr:uid="{00000000-0005-0000-0000-000083010000}"/>
    <cellStyle name="40% - Accent1 8" xfId="139" xr:uid="{00000000-0005-0000-0000-000084010000}"/>
    <cellStyle name="40% - Accent1 8 2" xfId="516" xr:uid="{00000000-0005-0000-0000-000085010000}"/>
    <cellStyle name="40% - Accent1 9" xfId="194" xr:uid="{00000000-0005-0000-0000-000086010000}"/>
    <cellStyle name="40% - Accent1 9 2" xfId="525" xr:uid="{00000000-0005-0000-0000-000087010000}"/>
    <cellStyle name="40% - Accent2" xfId="23" builtinId="35" customBuiltin="1"/>
    <cellStyle name="40% - Accent2 10" xfId="229" xr:uid="{00000000-0005-0000-0000-000089010000}"/>
    <cellStyle name="40% - Accent2 10 2" xfId="673" xr:uid="{00000000-0005-0000-0000-00008A010000}"/>
    <cellStyle name="40% - Accent2 11" xfId="422" xr:uid="{00000000-0005-0000-0000-00008B010000}"/>
    <cellStyle name="40% - Accent2 2" xfId="54" xr:uid="{00000000-0005-0000-0000-00008C010000}"/>
    <cellStyle name="40% - Accent2 2 2" xfId="170" xr:uid="{00000000-0005-0000-0000-00008D010000}"/>
    <cellStyle name="40% - Accent2 2 2 2" xfId="674" xr:uid="{00000000-0005-0000-0000-00008E010000}"/>
    <cellStyle name="40% - Accent2 2 3" xfId="258" xr:uid="{00000000-0005-0000-0000-00008F010000}"/>
    <cellStyle name="40% - Accent2 2 3 2" xfId="675" xr:uid="{00000000-0005-0000-0000-000090010000}"/>
    <cellStyle name="40% - Accent2 2 4" xfId="341" xr:uid="{00000000-0005-0000-0000-000091010000}"/>
    <cellStyle name="40% - Accent2 2 4 2" xfId="676" xr:uid="{00000000-0005-0000-0000-000092010000}"/>
    <cellStyle name="40% - Accent2 2 5" xfId="441" xr:uid="{00000000-0005-0000-0000-000093010000}"/>
    <cellStyle name="40% - Accent2 3" xfId="65" xr:uid="{00000000-0005-0000-0000-000094010000}"/>
    <cellStyle name="40% - Accent2 3 2" xfId="181" xr:uid="{00000000-0005-0000-0000-000095010000}"/>
    <cellStyle name="40% - Accent2 3 2 2" xfId="677" xr:uid="{00000000-0005-0000-0000-000096010000}"/>
    <cellStyle name="40% - Accent2 3 3" xfId="269" xr:uid="{00000000-0005-0000-0000-000097010000}"/>
    <cellStyle name="40% - Accent2 3 3 2" xfId="678" xr:uid="{00000000-0005-0000-0000-000098010000}"/>
    <cellStyle name="40% - Accent2 3 4" xfId="352" xr:uid="{00000000-0005-0000-0000-000099010000}"/>
    <cellStyle name="40% - Accent2 3 4 2" xfId="679" xr:uid="{00000000-0005-0000-0000-00009A010000}"/>
    <cellStyle name="40% - Accent2 3 5" xfId="452" xr:uid="{00000000-0005-0000-0000-00009B010000}"/>
    <cellStyle name="40% - Accent2 4" xfId="72" xr:uid="{00000000-0005-0000-0000-00009C010000}"/>
    <cellStyle name="40% - Accent2 4 2" xfId="188" xr:uid="{00000000-0005-0000-0000-00009D010000}"/>
    <cellStyle name="40% - Accent2 4 2 2" xfId="680" xr:uid="{00000000-0005-0000-0000-00009E010000}"/>
    <cellStyle name="40% - Accent2 4 3" xfId="275" xr:uid="{00000000-0005-0000-0000-00009F010000}"/>
    <cellStyle name="40% - Accent2 4 3 2" xfId="681" xr:uid="{00000000-0005-0000-0000-0000A0010000}"/>
    <cellStyle name="40% - Accent2 4 4" xfId="358" xr:uid="{00000000-0005-0000-0000-0000A1010000}"/>
    <cellStyle name="40% - Accent2 4 4 2" xfId="682" xr:uid="{00000000-0005-0000-0000-0000A2010000}"/>
    <cellStyle name="40% - Accent2 4 5" xfId="458" xr:uid="{00000000-0005-0000-0000-0000A3010000}"/>
    <cellStyle name="40% - Accent2 5" xfId="93" xr:uid="{00000000-0005-0000-0000-0000A4010000}"/>
    <cellStyle name="40% - Accent2 5 2" xfId="207" xr:uid="{00000000-0005-0000-0000-0000A5010000}"/>
    <cellStyle name="40% - Accent2 5 2 2" xfId="683" xr:uid="{00000000-0005-0000-0000-0000A6010000}"/>
    <cellStyle name="40% - Accent2 5 3" xfId="293" xr:uid="{00000000-0005-0000-0000-0000A7010000}"/>
    <cellStyle name="40% - Accent2 5 3 2" xfId="684" xr:uid="{00000000-0005-0000-0000-0000A8010000}"/>
    <cellStyle name="40% - Accent2 5 4" xfId="375" xr:uid="{00000000-0005-0000-0000-0000A9010000}"/>
    <cellStyle name="40% - Accent2 5 4 2" xfId="685" xr:uid="{00000000-0005-0000-0000-0000AA010000}"/>
    <cellStyle name="40% - Accent2 5 5" xfId="475" xr:uid="{00000000-0005-0000-0000-0000AB010000}"/>
    <cellStyle name="40% - Accent2 6" xfId="107" xr:uid="{00000000-0005-0000-0000-0000AC010000}"/>
    <cellStyle name="40% - Accent2 6 2" xfId="220" xr:uid="{00000000-0005-0000-0000-0000AD010000}"/>
    <cellStyle name="40% - Accent2 6 2 2" xfId="686" xr:uid="{00000000-0005-0000-0000-0000AE010000}"/>
    <cellStyle name="40% - Accent2 6 3" xfId="306" xr:uid="{00000000-0005-0000-0000-0000AF010000}"/>
    <cellStyle name="40% - Accent2 6 3 2" xfId="687" xr:uid="{00000000-0005-0000-0000-0000B0010000}"/>
    <cellStyle name="40% - Accent2 6 4" xfId="388" xr:uid="{00000000-0005-0000-0000-0000B1010000}"/>
    <cellStyle name="40% - Accent2 6 4 2" xfId="688" xr:uid="{00000000-0005-0000-0000-0000B2010000}"/>
    <cellStyle name="40% - Accent2 6 5" xfId="488" xr:uid="{00000000-0005-0000-0000-0000B3010000}"/>
    <cellStyle name="40% - Accent2 7" xfId="123" xr:uid="{00000000-0005-0000-0000-0000B4010000}"/>
    <cellStyle name="40% - Accent2 7 2" xfId="235" xr:uid="{00000000-0005-0000-0000-0000B5010000}"/>
    <cellStyle name="40% - Accent2 7 2 2" xfId="689" xr:uid="{00000000-0005-0000-0000-0000B6010000}"/>
    <cellStyle name="40% - Accent2 7 3" xfId="320" xr:uid="{00000000-0005-0000-0000-0000B7010000}"/>
    <cellStyle name="40% - Accent2 7 3 2" xfId="690" xr:uid="{00000000-0005-0000-0000-0000B8010000}"/>
    <cellStyle name="40% - Accent2 7 4" xfId="402" xr:uid="{00000000-0005-0000-0000-0000B9010000}"/>
    <cellStyle name="40% - Accent2 7 4 2" xfId="691" xr:uid="{00000000-0005-0000-0000-0000BA010000}"/>
    <cellStyle name="40% - Accent2 7 5" xfId="503" xr:uid="{00000000-0005-0000-0000-0000BB010000}"/>
    <cellStyle name="40% - Accent2 8" xfId="143" xr:uid="{00000000-0005-0000-0000-0000BC010000}"/>
    <cellStyle name="40% - Accent2 8 2" xfId="519" xr:uid="{00000000-0005-0000-0000-0000BD010000}"/>
    <cellStyle name="40% - Accent2 9" xfId="135" xr:uid="{00000000-0005-0000-0000-0000BE010000}"/>
    <cellStyle name="40% - Accent2 9 2" xfId="531" xr:uid="{00000000-0005-0000-0000-0000BF010000}"/>
    <cellStyle name="40% - Accent3" xfId="27" builtinId="39" customBuiltin="1"/>
    <cellStyle name="40% - Accent3 10" xfId="154" xr:uid="{00000000-0005-0000-0000-0000C1010000}"/>
    <cellStyle name="40% - Accent3 10 2" xfId="692" xr:uid="{00000000-0005-0000-0000-0000C2010000}"/>
    <cellStyle name="40% - Accent3 11" xfId="424" xr:uid="{00000000-0005-0000-0000-0000C3010000}"/>
    <cellStyle name="40% - Accent3 2" xfId="58" xr:uid="{00000000-0005-0000-0000-0000C4010000}"/>
    <cellStyle name="40% - Accent3 2 2" xfId="174" xr:uid="{00000000-0005-0000-0000-0000C5010000}"/>
    <cellStyle name="40% - Accent3 2 2 2" xfId="693" xr:uid="{00000000-0005-0000-0000-0000C6010000}"/>
    <cellStyle name="40% - Accent3 2 3" xfId="262" xr:uid="{00000000-0005-0000-0000-0000C7010000}"/>
    <cellStyle name="40% - Accent3 2 3 2" xfId="694" xr:uid="{00000000-0005-0000-0000-0000C8010000}"/>
    <cellStyle name="40% - Accent3 2 4" xfId="345" xr:uid="{00000000-0005-0000-0000-0000C9010000}"/>
    <cellStyle name="40% - Accent3 2 4 2" xfId="695" xr:uid="{00000000-0005-0000-0000-0000CA010000}"/>
    <cellStyle name="40% - Accent3 2 5" xfId="445" xr:uid="{00000000-0005-0000-0000-0000CB010000}"/>
    <cellStyle name="40% - Accent3 3" xfId="51" xr:uid="{00000000-0005-0000-0000-0000CC010000}"/>
    <cellStyle name="40% - Accent3 3 2" xfId="167" xr:uid="{00000000-0005-0000-0000-0000CD010000}"/>
    <cellStyle name="40% - Accent3 3 2 2" xfId="696" xr:uid="{00000000-0005-0000-0000-0000CE010000}"/>
    <cellStyle name="40% - Accent3 3 3" xfId="255" xr:uid="{00000000-0005-0000-0000-0000CF010000}"/>
    <cellStyle name="40% - Accent3 3 3 2" xfId="697" xr:uid="{00000000-0005-0000-0000-0000D0010000}"/>
    <cellStyle name="40% - Accent3 3 4" xfId="338" xr:uid="{00000000-0005-0000-0000-0000D1010000}"/>
    <cellStyle name="40% - Accent3 3 4 2" xfId="698" xr:uid="{00000000-0005-0000-0000-0000D2010000}"/>
    <cellStyle name="40% - Accent3 3 5" xfId="438" xr:uid="{00000000-0005-0000-0000-0000D3010000}"/>
    <cellStyle name="40% - Accent3 4" xfId="80" xr:uid="{00000000-0005-0000-0000-0000D4010000}"/>
    <cellStyle name="40% - Accent3 4 2" xfId="195" xr:uid="{00000000-0005-0000-0000-0000D5010000}"/>
    <cellStyle name="40% - Accent3 4 2 2" xfId="699" xr:uid="{00000000-0005-0000-0000-0000D6010000}"/>
    <cellStyle name="40% - Accent3 4 3" xfId="282" xr:uid="{00000000-0005-0000-0000-0000D7010000}"/>
    <cellStyle name="40% - Accent3 4 3 2" xfId="700" xr:uid="{00000000-0005-0000-0000-0000D8010000}"/>
    <cellStyle name="40% - Accent3 4 4" xfId="364" xr:uid="{00000000-0005-0000-0000-0000D9010000}"/>
    <cellStyle name="40% - Accent3 4 4 2" xfId="701" xr:uid="{00000000-0005-0000-0000-0000DA010000}"/>
    <cellStyle name="40% - Accent3 4 5" xfId="464" xr:uid="{00000000-0005-0000-0000-0000DB010000}"/>
    <cellStyle name="40% - Accent3 5" xfId="95" xr:uid="{00000000-0005-0000-0000-0000DC010000}"/>
    <cellStyle name="40% - Accent3 5 2" xfId="209" xr:uid="{00000000-0005-0000-0000-0000DD010000}"/>
    <cellStyle name="40% - Accent3 5 2 2" xfId="702" xr:uid="{00000000-0005-0000-0000-0000DE010000}"/>
    <cellStyle name="40% - Accent3 5 3" xfId="295" xr:uid="{00000000-0005-0000-0000-0000DF010000}"/>
    <cellStyle name="40% - Accent3 5 3 2" xfId="703" xr:uid="{00000000-0005-0000-0000-0000E0010000}"/>
    <cellStyle name="40% - Accent3 5 4" xfId="377" xr:uid="{00000000-0005-0000-0000-0000E1010000}"/>
    <cellStyle name="40% - Accent3 5 4 2" xfId="704" xr:uid="{00000000-0005-0000-0000-0000E2010000}"/>
    <cellStyle name="40% - Accent3 5 5" xfId="477" xr:uid="{00000000-0005-0000-0000-0000E3010000}"/>
    <cellStyle name="40% - Accent3 6" xfId="109" xr:uid="{00000000-0005-0000-0000-0000E4010000}"/>
    <cellStyle name="40% - Accent3 6 2" xfId="222" xr:uid="{00000000-0005-0000-0000-0000E5010000}"/>
    <cellStyle name="40% - Accent3 6 2 2" xfId="705" xr:uid="{00000000-0005-0000-0000-0000E6010000}"/>
    <cellStyle name="40% - Accent3 6 3" xfId="308" xr:uid="{00000000-0005-0000-0000-0000E7010000}"/>
    <cellStyle name="40% - Accent3 6 3 2" xfId="706" xr:uid="{00000000-0005-0000-0000-0000E8010000}"/>
    <cellStyle name="40% - Accent3 6 4" xfId="390" xr:uid="{00000000-0005-0000-0000-0000E9010000}"/>
    <cellStyle name="40% - Accent3 6 4 2" xfId="707" xr:uid="{00000000-0005-0000-0000-0000EA010000}"/>
    <cellStyle name="40% - Accent3 6 5" xfId="490" xr:uid="{00000000-0005-0000-0000-0000EB010000}"/>
    <cellStyle name="40% - Accent3 7" xfId="125" xr:uid="{00000000-0005-0000-0000-0000EC010000}"/>
    <cellStyle name="40% - Accent3 7 2" xfId="237" xr:uid="{00000000-0005-0000-0000-0000ED010000}"/>
    <cellStyle name="40% - Accent3 7 2 2" xfId="708" xr:uid="{00000000-0005-0000-0000-0000EE010000}"/>
    <cellStyle name="40% - Accent3 7 3" xfId="322" xr:uid="{00000000-0005-0000-0000-0000EF010000}"/>
    <cellStyle name="40% - Accent3 7 3 2" xfId="709" xr:uid="{00000000-0005-0000-0000-0000F0010000}"/>
    <cellStyle name="40% - Accent3 7 4" xfId="404" xr:uid="{00000000-0005-0000-0000-0000F1010000}"/>
    <cellStyle name="40% - Accent3 7 4 2" xfId="710" xr:uid="{00000000-0005-0000-0000-0000F2010000}"/>
    <cellStyle name="40% - Accent3 7 5" xfId="505" xr:uid="{00000000-0005-0000-0000-0000F3010000}"/>
    <cellStyle name="40% - Accent3 8" xfId="146" xr:uid="{00000000-0005-0000-0000-0000F4010000}"/>
    <cellStyle name="40% - Accent3 8 2" xfId="522" xr:uid="{00000000-0005-0000-0000-0000F5010000}"/>
    <cellStyle name="40% - Accent3 9" xfId="148" xr:uid="{00000000-0005-0000-0000-0000F6010000}"/>
    <cellStyle name="40% - Accent3 9 2" xfId="533" xr:uid="{00000000-0005-0000-0000-0000F7010000}"/>
    <cellStyle name="40% - Accent4" xfId="31" builtinId="43" customBuiltin="1"/>
    <cellStyle name="40% - Accent4 10" xfId="140" xr:uid="{00000000-0005-0000-0000-0000F9010000}"/>
    <cellStyle name="40% - Accent4 10 2" xfId="711" xr:uid="{00000000-0005-0000-0000-0000FA010000}"/>
    <cellStyle name="40% - Accent4 11" xfId="426" xr:uid="{00000000-0005-0000-0000-0000FB010000}"/>
    <cellStyle name="40% - Accent4 2" xfId="62" xr:uid="{00000000-0005-0000-0000-0000FC010000}"/>
    <cellStyle name="40% - Accent4 2 2" xfId="178" xr:uid="{00000000-0005-0000-0000-0000FD010000}"/>
    <cellStyle name="40% - Accent4 2 2 2" xfId="712" xr:uid="{00000000-0005-0000-0000-0000FE010000}"/>
    <cellStyle name="40% - Accent4 2 3" xfId="266" xr:uid="{00000000-0005-0000-0000-0000FF010000}"/>
    <cellStyle name="40% - Accent4 2 3 2" xfId="713" xr:uid="{00000000-0005-0000-0000-000000020000}"/>
    <cellStyle name="40% - Accent4 2 4" xfId="349" xr:uid="{00000000-0005-0000-0000-000001020000}"/>
    <cellStyle name="40% - Accent4 2 4 2" xfId="714" xr:uid="{00000000-0005-0000-0000-000002020000}"/>
    <cellStyle name="40% - Accent4 2 5" xfId="449" xr:uid="{00000000-0005-0000-0000-000003020000}"/>
    <cellStyle name="40% - Accent4 3" xfId="71" xr:uid="{00000000-0005-0000-0000-000004020000}"/>
    <cellStyle name="40% - Accent4 3 2" xfId="187" xr:uid="{00000000-0005-0000-0000-000005020000}"/>
    <cellStyle name="40% - Accent4 3 2 2" xfId="715" xr:uid="{00000000-0005-0000-0000-000006020000}"/>
    <cellStyle name="40% - Accent4 3 3" xfId="274" xr:uid="{00000000-0005-0000-0000-000007020000}"/>
    <cellStyle name="40% - Accent4 3 3 2" xfId="716" xr:uid="{00000000-0005-0000-0000-000008020000}"/>
    <cellStyle name="40% - Accent4 3 4" xfId="357" xr:uid="{00000000-0005-0000-0000-000009020000}"/>
    <cellStyle name="40% - Accent4 3 4 2" xfId="717" xr:uid="{00000000-0005-0000-0000-00000A020000}"/>
    <cellStyle name="40% - Accent4 3 5" xfId="457" xr:uid="{00000000-0005-0000-0000-00000B020000}"/>
    <cellStyle name="40% - Accent4 4" xfId="82" xr:uid="{00000000-0005-0000-0000-00000C020000}"/>
    <cellStyle name="40% - Accent4 4 2" xfId="197" xr:uid="{00000000-0005-0000-0000-00000D020000}"/>
    <cellStyle name="40% - Accent4 4 2 2" xfId="718" xr:uid="{00000000-0005-0000-0000-00000E020000}"/>
    <cellStyle name="40% - Accent4 4 3" xfId="284" xr:uid="{00000000-0005-0000-0000-00000F020000}"/>
    <cellStyle name="40% - Accent4 4 3 2" xfId="719" xr:uid="{00000000-0005-0000-0000-000010020000}"/>
    <cellStyle name="40% - Accent4 4 4" xfId="366" xr:uid="{00000000-0005-0000-0000-000011020000}"/>
    <cellStyle name="40% - Accent4 4 4 2" xfId="720" xr:uid="{00000000-0005-0000-0000-000012020000}"/>
    <cellStyle name="40% - Accent4 4 5" xfId="466" xr:uid="{00000000-0005-0000-0000-000013020000}"/>
    <cellStyle name="40% - Accent4 5" xfId="97" xr:uid="{00000000-0005-0000-0000-000014020000}"/>
    <cellStyle name="40% - Accent4 5 2" xfId="211" xr:uid="{00000000-0005-0000-0000-000015020000}"/>
    <cellStyle name="40% - Accent4 5 2 2" xfId="721" xr:uid="{00000000-0005-0000-0000-000016020000}"/>
    <cellStyle name="40% - Accent4 5 3" xfId="297" xr:uid="{00000000-0005-0000-0000-000017020000}"/>
    <cellStyle name="40% - Accent4 5 3 2" xfId="722" xr:uid="{00000000-0005-0000-0000-000018020000}"/>
    <cellStyle name="40% - Accent4 5 4" xfId="379" xr:uid="{00000000-0005-0000-0000-000019020000}"/>
    <cellStyle name="40% - Accent4 5 4 2" xfId="723" xr:uid="{00000000-0005-0000-0000-00001A020000}"/>
    <cellStyle name="40% - Accent4 5 5" xfId="479" xr:uid="{00000000-0005-0000-0000-00001B020000}"/>
    <cellStyle name="40% - Accent4 6" xfId="111" xr:uid="{00000000-0005-0000-0000-00001C020000}"/>
    <cellStyle name="40% - Accent4 6 2" xfId="224" xr:uid="{00000000-0005-0000-0000-00001D020000}"/>
    <cellStyle name="40% - Accent4 6 2 2" xfId="724" xr:uid="{00000000-0005-0000-0000-00001E020000}"/>
    <cellStyle name="40% - Accent4 6 3" xfId="310" xr:uid="{00000000-0005-0000-0000-00001F020000}"/>
    <cellStyle name="40% - Accent4 6 3 2" xfId="725" xr:uid="{00000000-0005-0000-0000-000020020000}"/>
    <cellStyle name="40% - Accent4 6 4" xfId="392" xr:uid="{00000000-0005-0000-0000-000021020000}"/>
    <cellStyle name="40% - Accent4 6 4 2" xfId="726" xr:uid="{00000000-0005-0000-0000-000022020000}"/>
    <cellStyle name="40% - Accent4 6 5" xfId="492" xr:uid="{00000000-0005-0000-0000-000023020000}"/>
    <cellStyle name="40% - Accent4 7" xfId="127" xr:uid="{00000000-0005-0000-0000-000024020000}"/>
    <cellStyle name="40% - Accent4 7 2" xfId="239" xr:uid="{00000000-0005-0000-0000-000025020000}"/>
    <cellStyle name="40% - Accent4 7 2 2" xfId="727" xr:uid="{00000000-0005-0000-0000-000026020000}"/>
    <cellStyle name="40% - Accent4 7 3" xfId="324" xr:uid="{00000000-0005-0000-0000-000027020000}"/>
    <cellStyle name="40% - Accent4 7 3 2" xfId="728" xr:uid="{00000000-0005-0000-0000-000028020000}"/>
    <cellStyle name="40% - Accent4 7 4" xfId="406" xr:uid="{00000000-0005-0000-0000-000029020000}"/>
    <cellStyle name="40% - Accent4 7 4 2" xfId="729" xr:uid="{00000000-0005-0000-0000-00002A020000}"/>
    <cellStyle name="40% - Accent4 7 5" xfId="507" xr:uid="{00000000-0005-0000-0000-00002B020000}"/>
    <cellStyle name="40% - Accent4 8" xfId="150" xr:uid="{00000000-0005-0000-0000-00002C020000}"/>
    <cellStyle name="40% - Accent4 8 2" xfId="524" xr:uid="{00000000-0005-0000-0000-00002D020000}"/>
    <cellStyle name="40% - Accent4 9" xfId="157" xr:uid="{00000000-0005-0000-0000-00002E020000}"/>
    <cellStyle name="40% - Accent4 9 2" xfId="535" xr:uid="{00000000-0005-0000-0000-00002F020000}"/>
    <cellStyle name="40% - Accent5" xfId="35" builtinId="47" customBuiltin="1"/>
    <cellStyle name="40% - Accent5 10" xfId="160" xr:uid="{00000000-0005-0000-0000-000031020000}"/>
    <cellStyle name="40% - Accent5 10 2" xfId="730" xr:uid="{00000000-0005-0000-0000-000032020000}"/>
    <cellStyle name="40% - Accent5 11" xfId="428" xr:uid="{00000000-0005-0000-0000-000033020000}"/>
    <cellStyle name="40% - Accent5 2" xfId="64" xr:uid="{00000000-0005-0000-0000-000034020000}"/>
    <cellStyle name="40% - Accent5 2 2" xfId="180" xr:uid="{00000000-0005-0000-0000-000035020000}"/>
    <cellStyle name="40% - Accent5 2 2 2" xfId="731" xr:uid="{00000000-0005-0000-0000-000036020000}"/>
    <cellStyle name="40% - Accent5 2 3" xfId="268" xr:uid="{00000000-0005-0000-0000-000037020000}"/>
    <cellStyle name="40% - Accent5 2 3 2" xfId="732" xr:uid="{00000000-0005-0000-0000-000038020000}"/>
    <cellStyle name="40% - Accent5 2 4" xfId="351" xr:uid="{00000000-0005-0000-0000-000039020000}"/>
    <cellStyle name="40% - Accent5 2 4 2" xfId="733" xr:uid="{00000000-0005-0000-0000-00003A020000}"/>
    <cellStyle name="40% - Accent5 2 5" xfId="451" xr:uid="{00000000-0005-0000-0000-00003B020000}"/>
    <cellStyle name="40% - Accent5 3" xfId="74" xr:uid="{00000000-0005-0000-0000-00003C020000}"/>
    <cellStyle name="40% - Accent5 3 2" xfId="190" xr:uid="{00000000-0005-0000-0000-00003D020000}"/>
    <cellStyle name="40% - Accent5 3 2 2" xfId="734" xr:uid="{00000000-0005-0000-0000-00003E020000}"/>
    <cellStyle name="40% - Accent5 3 3" xfId="277" xr:uid="{00000000-0005-0000-0000-00003F020000}"/>
    <cellStyle name="40% - Accent5 3 3 2" xfId="735" xr:uid="{00000000-0005-0000-0000-000040020000}"/>
    <cellStyle name="40% - Accent5 3 4" xfId="360" xr:uid="{00000000-0005-0000-0000-000041020000}"/>
    <cellStyle name="40% - Accent5 3 4 2" xfId="736" xr:uid="{00000000-0005-0000-0000-000042020000}"/>
    <cellStyle name="40% - Accent5 3 5" xfId="460" xr:uid="{00000000-0005-0000-0000-000043020000}"/>
    <cellStyle name="40% - Accent5 4" xfId="84" xr:uid="{00000000-0005-0000-0000-000044020000}"/>
    <cellStyle name="40% - Accent5 4 2" xfId="199" xr:uid="{00000000-0005-0000-0000-000045020000}"/>
    <cellStyle name="40% - Accent5 4 2 2" xfId="737" xr:uid="{00000000-0005-0000-0000-000046020000}"/>
    <cellStyle name="40% - Accent5 4 3" xfId="286" xr:uid="{00000000-0005-0000-0000-000047020000}"/>
    <cellStyle name="40% - Accent5 4 3 2" xfId="738" xr:uid="{00000000-0005-0000-0000-000048020000}"/>
    <cellStyle name="40% - Accent5 4 4" xfId="368" xr:uid="{00000000-0005-0000-0000-000049020000}"/>
    <cellStyle name="40% - Accent5 4 4 2" xfId="739" xr:uid="{00000000-0005-0000-0000-00004A020000}"/>
    <cellStyle name="40% - Accent5 4 5" xfId="468" xr:uid="{00000000-0005-0000-0000-00004B020000}"/>
    <cellStyle name="40% - Accent5 5" xfId="99" xr:uid="{00000000-0005-0000-0000-00004C020000}"/>
    <cellStyle name="40% - Accent5 5 2" xfId="213" xr:uid="{00000000-0005-0000-0000-00004D020000}"/>
    <cellStyle name="40% - Accent5 5 2 2" xfId="740" xr:uid="{00000000-0005-0000-0000-00004E020000}"/>
    <cellStyle name="40% - Accent5 5 3" xfId="299" xr:uid="{00000000-0005-0000-0000-00004F020000}"/>
    <cellStyle name="40% - Accent5 5 3 2" xfId="741" xr:uid="{00000000-0005-0000-0000-000050020000}"/>
    <cellStyle name="40% - Accent5 5 4" xfId="381" xr:uid="{00000000-0005-0000-0000-000051020000}"/>
    <cellStyle name="40% - Accent5 5 4 2" xfId="742" xr:uid="{00000000-0005-0000-0000-000052020000}"/>
    <cellStyle name="40% - Accent5 5 5" xfId="481" xr:uid="{00000000-0005-0000-0000-000053020000}"/>
    <cellStyle name="40% - Accent5 6" xfId="113" xr:uid="{00000000-0005-0000-0000-000054020000}"/>
    <cellStyle name="40% - Accent5 6 2" xfId="226" xr:uid="{00000000-0005-0000-0000-000055020000}"/>
    <cellStyle name="40% - Accent5 6 2 2" xfId="743" xr:uid="{00000000-0005-0000-0000-000056020000}"/>
    <cellStyle name="40% - Accent5 6 3" xfId="312" xr:uid="{00000000-0005-0000-0000-000057020000}"/>
    <cellStyle name="40% - Accent5 6 3 2" xfId="744" xr:uid="{00000000-0005-0000-0000-000058020000}"/>
    <cellStyle name="40% - Accent5 6 4" xfId="394" xr:uid="{00000000-0005-0000-0000-000059020000}"/>
    <cellStyle name="40% - Accent5 6 4 2" xfId="745" xr:uid="{00000000-0005-0000-0000-00005A020000}"/>
    <cellStyle name="40% - Accent5 6 5" xfId="494" xr:uid="{00000000-0005-0000-0000-00005B020000}"/>
    <cellStyle name="40% - Accent5 7" xfId="129" xr:uid="{00000000-0005-0000-0000-00005C020000}"/>
    <cellStyle name="40% - Accent5 7 2" xfId="241" xr:uid="{00000000-0005-0000-0000-00005D020000}"/>
    <cellStyle name="40% - Accent5 7 2 2" xfId="746" xr:uid="{00000000-0005-0000-0000-00005E020000}"/>
    <cellStyle name="40% - Accent5 7 3" xfId="326" xr:uid="{00000000-0005-0000-0000-00005F020000}"/>
    <cellStyle name="40% - Accent5 7 3 2" xfId="747" xr:uid="{00000000-0005-0000-0000-000060020000}"/>
    <cellStyle name="40% - Accent5 7 4" xfId="408" xr:uid="{00000000-0005-0000-0000-000061020000}"/>
    <cellStyle name="40% - Accent5 7 4 2" xfId="748" xr:uid="{00000000-0005-0000-0000-000062020000}"/>
    <cellStyle name="40% - Accent5 7 5" xfId="509" xr:uid="{00000000-0005-0000-0000-000063020000}"/>
    <cellStyle name="40% - Accent5 8" xfId="153" xr:uid="{00000000-0005-0000-0000-000064020000}"/>
    <cellStyle name="40% - Accent5 8 2" xfId="527" xr:uid="{00000000-0005-0000-0000-000065020000}"/>
    <cellStyle name="40% - Accent5 9" xfId="144" xr:uid="{00000000-0005-0000-0000-000066020000}"/>
    <cellStyle name="40% - Accent5 9 2" xfId="537" xr:uid="{00000000-0005-0000-0000-000067020000}"/>
    <cellStyle name="40% - Accent6" xfId="39" builtinId="51" customBuiltin="1"/>
    <cellStyle name="40% - Accent6 10" xfId="330" xr:uid="{00000000-0005-0000-0000-000069020000}"/>
    <cellStyle name="40% - Accent6 10 2" xfId="749" xr:uid="{00000000-0005-0000-0000-00006A020000}"/>
    <cellStyle name="40% - Accent6 11" xfId="430" xr:uid="{00000000-0005-0000-0000-00006B020000}"/>
    <cellStyle name="40% - Accent6 2" xfId="67" xr:uid="{00000000-0005-0000-0000-00006C020000}"/>
    <cellStyle name="40% - Accent6 2 2" xfId="183" xr:uid="{00000000-0005-0000-0000-00006D020000}"/>
    <cellStyle name="40% - Accent6 2 2 2" xfId="750" xr:uid="{00000000-0005-0000-0000-00006E020000}"/>
    <cellStyle name="40% - Accent6 2 3" xfId="271" xr:uid="{00000000-0005-0000-0000-00006F020000}"/>
    <cellStyle name="40% - Accent6 2 3 2" xfId="751" xr:uid="{00000000-0005-0000-0000-000070020000}"/>
    <cellStyle name="40% - Accent6 2 4" xfId="354" xr:uid="{00000000-0005-0000-0000-000071020000}"/>
    <cellStyle name="40% - Accent6 2 4 2" xfId="752" xr:uid="{00000000-0005-0000-0000-000072020000}"/>
    <cellStyle name="40% - Accent6 2 5" xfId="454" xr:uid="{00000000-0005-0000-0000-000073020000}"/>
    <cellStyle name="40% - Accent6 3" xfId="77" xr:uid="{00000000-0005-0000-0000-000074020000}"/>
    <cellStyle name="40% - Accent6 3 2" xfId="193" xr:uid="{00000000-0005-0000-0000-000075020000}"/>
    <cellStyle name="40% - Accent6 3 2 2" xfId="753" xr:uid="{00000000-0005-0000-0000-000076020000}"/>
    <cellStyle name="40% - Accent6 3 3" xfId="280" xr:uid="{00000000-0005-0000-0000-000077020000}"/>
    <cellStyle name="40% - Accent6 3 3 2" xfId="754" xr:uid="{00000000-0005-0000-0000-000078020000}"/>
    <cellStyle name="40% - Accent6 3 4" xfId="363" xr:uid="{00000000-0005-0000-0000-000079020000}"/>
    <cellStyle name="40% - Accent6 3 4 2" xfId="755" xr:uid="{00000000-0005-0000-0000-00007A020000}"/>
    <cellStyle name="40% - Accent6 3 5" xfId="463" xr:uid="{00000000-0005-0000-0000-00007B020000}"/>
    <cellStyle name="40% - Accent6 4" xfId="86" xr:uid="{00000000-0005-0000-0000-00007C020000}"/>
    <cellStyle name="40% - Accent6 4 2" xfId="201" xr:uid="{00000000-0005-0000-0000-00007D020000}"/>
    <cellStyle name="40% - Accent6 4 2 2" xfId="756" xr:uid="{00000000-0005-0000-0000-00007E020000}"/>
    <cellStyle name="40% - Accent6 4 3" xfId="288" xr:uid="{00000000-0005-0000-0000-00007F020000}"/>
    <cellStyle name="40% - Accent6 4 3 2" xfId="757" xr:uid="{00000000-0005-0000-0000-000080020000}"/>
    <cellStyle name="40% - Accent6 4 4" xfId="370" xr:uid="{00000000-0005-0000-0000-000081020000}"/>
    <cellStyle name="40% - Accent6 4 4 2" xfId="758" xr:uid="{00000000-0005-0000-0000-000082020000}"/>
    <cellStyle name="40% - Accent6 4 5" xfId="470" xr:uid="{00000000-0005-0000-0000-000083020000}"/>
    <cellStyle name="40% - Accent6 5" xfId="101" xr:uid="{00000000-0005-0000-0000-000084020000}"/>
    <cellStyle name="40% - Accent6 5 2" xfId="215" xr:uid="{00000000-0005-0000-0000-000085020000}"/>
    <cellStyle name="40% - Accent6 5 2 2" xfId="759" xr:uid="{00000000-0005-0000-0000-000086020000}"/>
    <cellStyle name="40% - Accent6 5 3" xfId="301" xr:uid="{00000000-0005-0000-0000-000087020000}"/>
    <cellStyle name="40% - Accent6 5 3 2" xfId="760" xr:uid="{00000000-0005-0000-0000-000088020000}"/>
    <cellStyle name="40% - Accent6 5 4" xfId="383" xr:uid="{00000000-0005-0000-0000-000089020000}"/>
    <cellStyle name="40% - Accent6 5 4 2" xfId="761" xr:uid="{00000000-0005-0000-0000-00008A020000}"/>
    <cellStyle name="40% - Accent6 5 5" xfId="483" xr:uid="{00000000-0005-0000-0000-00008B020000}"/>
    <cellStyle name="40% - Accent6 6" xfId="115" xr:uid="{00000000-0005-0000-0000-00008C020000}"/>
    <cellStyle name="40% - Accent6 6 2" xfId="228" xr:uid="{00000000-0005-0000-0000-00008D020000}"/>
    <cellStyle name="40% - Accent6 6 2 2" xfId="762" xr:uid="{00000000-0005-0000-0000-00008E020000}"/>
    <cellStyle name="40% - Accent6 6 3" xfId="314" xr:uid="{00000000-0005-0000-0000-00008F020000}"/>
    <cellStyle name="40% - Accent6 6 3 2" xfId="763" xr:uid="{00000000-0005-0000-0000-000090020000}"/>
    <cellStyle name="40% - Accent6 6 4" xfId="396" xr:uid="{00000000-0005-0000-0000-000091020000}"/>
    <cellStyle name="40% - Accent6 6 4 2" xfId="764" xr:uid="{00000000-0005-0000-0000-000092020000}"/>
    <cellStyle name="40% - Accent6 6 5" xfId="496" xr:uid="{00000000-0005-0000-0000-000093020000}"/>
    <cellStyle name="40% - Accent6 7" xfId="131" xr:uid="{00000000-0005-0000-0000-000094020000}"/>
    <cellStyle name="40% - Accent6 7 2" xfId="243" xr:uid="{00000000-0005-0000-0000-000095020000}"/>
    <cellStyle name="40% - Accent6 7 2 2" xfId="765" xr:uid="{00000000-0005-0000-0000-000096020000}"/>
    <cellStyle name="40% - Accent6 7 3" xfId="328" xr:uid="{00000000-0005-0000-0000-000097020000}"/>
    <cellStyle name="40% - Accent6 7 3 2" xfId="766" xr:uid="{00000000-0005-0000-0000-000098020000}"/>
    <cellStyle name="40% - Accent6 7 4" xfId="410" xr:uid="{00000000-0005-0000-0000-000099020000}"/>
    <cellStyle name="40% - Accent6 7 4 2" xfId="767" xr:uid="{00000000-0005-0000-0000-00009A020000}"/>
    <cellStyle name="40% - Accent6 7 5" xfId="511" xr:uid="{00000000-0005-0000-0000-00009B020000}"/>
    <cellStyle name="40% - Accent6 8" xfId="156" xr:uid="{00000000-0005-0000-0000-00009C020000}"/>
    <cellStyle name="40% - Accent6 8 2" xfId="530" xr:uid="{00000000-0005-0000-0000-00009D020000}"/>
    <cellStyle name="40% - Accent6 9" xfId="245" xr:uid="{00000000-0005-0000-0000-00009E020000}"/>
    <cellStyle name="40% - Accent6 9 2" xfId="539" xr:uid="{00000000-0005-0000-0000-00009F02000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793" builtinId="3"/>
    <cellStyle name="Currency 2" xfId="497" xr:uid="{00000000-0005-0000-0000-0000B0020000}"/>
    <cellStyle name="Explanatory Text" xfId="15" builtinId="53" customBuiltin="1"/>
    <cellStyle name="Followed Hyperlink" xfId="43" builtinId="9" customBuiltin="1"/>
    <cellStyle name="Followed Hyperlink 2" xfId="79" xr:uid="{00000000-0005-0000-0000-0000B3020000}"/>
    <cellStyle name="Followed Hyperlink 3" xfId="88" xr:uid="{00000000-0005-0000-0000-0000B4020000}"/>
    <cellStyle name="Followed Hyperlink 4" xfId="117" xr:uid="{00000000-0005-0000-0000-0000B5020000}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17" builtinId="8"/>
    <cellStyle name="Hyperlink 2" xfId="42" xr:uid="{00000000-0005-0000-0000-0000BC020000}"/>
    <cellStyle name="Hyperlink 3" xfId="69" xr:uid="{00000000-0005-0000-0000-0000BD020000}"/>
    <cellStyle name="Hyperlink 4" xfId="78" xr:uid="{00000000-0005-0000-0000-0000BE020000}"/>
    <cellStyle name="Hyperlink 5" xfId="87" xr:uid="{00000000-0005-0000-0000-0000BF020000}"/>
    <cellStyle name="Hyperlink 6" xfId="116" xr:uid="{00000000-0005-0000-0000-0000C0020000}"/>
    <cellStyle name="Hyperlink 7" xfId="796" xr:uid="{00000000-0005-0000-0000-0000C102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103" xr:uid="{00000000-0005-0000-0000-0000C6020000}"/>
    <cellStyle name="Normal 2 2" xfId="411" xr:uid="{00000000-0005-0000-0000-0000C7020000}"/>
    <cellStyle name="Normal 2 2 2" xfId="412" xr:uid="{00000000-0005-0000-0000-0000C8020000}"/>
    <cellStyle name="Normal 3" xfId="46" xr:uid="{00000000-0005-0000-0000-0000C9020000}"/>
    <cellStyle name="Normal 4" xfId="118" xr:uid="{00000000-0005-0000-0000-0000CA020000}"/>
    <cellStyle name="Normal 4 2" xfId="230" xr:uid="{00000000-0005-0000-0000-0000CB020000}"/>
    <cellStyle name="Normal 4 2 2" xfId="768" xr:uid="{00000000-0005-0000-0000-0000CC020000}"/>
    <cellStyle name="Normal 4 3" xfId="315" xr:uid="{00000000-0005-0000-0000-0000CD020000}"/>
    <cellStyle name="Normal 4 3 2" xfId="769" xr:uid="{00000000-0005-0000-0000-0000CE020000}"/>
    <cellStyle name="Normal 4 4" xfId="397" xr:uid="{00000000-0005-0000-0000-0000CF020000}"/>
    <cellStyle name="Normal 4 4 2" xfId="770" xr:uid="{00000000-0005-0000-0000-0000D0020000}"/>
    <cellStyle name="Normal 4 5" xfId="498" xr:uid="{00000000-0005-0000-0000-0000D1020000}"/>
    <cellStyle name="Normal 5" xfId="132" xr:uid="{00000000-0005-0000-0000-0000D2020000}"/>
    <cellStyle name="Normal 5 2" xfId="413" xr:uid="{00000000-0005-0000-0000-0000D3020000}"/>
    <cellStyle name="Normal 5 3" xfId="512" xr:uid="{00000000-0005-0000-0000-0000D4020000}"/>
    <cellStyle name="Normal 6" xfId="133" xr:uid="{00000000-0005-0000-0000-0000D5020000}"/>
    <cellStyle name="Normal 6 2" xfId="513" xr:uid="{00000000-0005-0000-0000-0000D6020000}"/>
    <cellStyle name="Normal 7" xfId="185" xr:uid="{00000000-0005-0000-0000-0000D7020000}"/>
    <cellStyle name="Normal 8" xfId="414" xr:uid="{00000000-0005-0000-0000-0000D8020000}"/>
    <cellStyle name="Normal 8 2" xfId="792" xr:uid="{00000000-0005-0000-0000-0000D9020000}"/>
    <cellStyle name="Normal_Benefit rates" xfId="795" xr:uid="{00000000-0005-0000-0000-0000DA020000}"/>
    <cellStyle name="Note 10" xfId="415" xr:uid="{00000000-0005-0000-0000-0000DB020000}"/>
    <cellStyle name="Note 10 2" xfId="520" xr:uid="{00000000-0005-0000-0000-0000DC020000}"/>
    <cellStyle name="Note 2" xfId="41" xr:uid="{00000000-0005-0000-0000-0000DD020000}"/>
    <cellStyle name="Note 2 2" xfId="158" xr:uid="{00000000-0005-0000-0000-0000DE020000}"/>
    <cellStyle name="Note 2 2 2" xfId="771" xr:uid="{00000000-0005-0000-0000-0000DF020000}"/>
    <cellStyle name="Note 2 3" xfId="247" xr:uid="{00000000-0005-0000-0000-0000E0020000}"/>
    <cellStyle name="Note 2 3 2" xfId="772" xr:uid="{00000000-0005-0000-0000-0000E1020000}"/>
    <cellStyle name="Note 2 4" xfId="331" xr:uid="{00000000-0005-0000-0000-0000E2020000}"/>
    <cellStyle name="Note 2 4 2" xfId="773" xr:uid="{00000000-0005-0000-0000-0000E3020000}"/>
    <cellStyle name="Note 2 5" xfId="431" xr:uid="{00000000-0005-0000-0000-0000E4020000}"/>
    <cellStyle name="Note 3" xfId="47" xr:uid="{00000000-0005-0000-0000-0000E5020000}"/>
    <cellStyle name="Note 3 2" xfId="163" xr:uid="{00000000-0005-0000-0000-0000E6020000}"/>
    <cellStyle name="Note 3 2 2" xfId="774" xr:uid="{00000000-0005-0000-0000-0000E7020000}"/>
    <cellStyle name="Note 3 3" xfId="251" xr:uid="{00000000-0005-0000-0000-0000E8020000}"/>
    <cellStyle name="Note 3 3 2" xfId="775" xr:uid="{00000000-0005-0000-0000-0000E9020000}"/>
    <cellStyle name="Note 3 4" xfId="334" xr:uid="{00000000-0005-0000-0000-0000EA020000}"/>
    <cellStyle name="Note 3 4 2" xfId="776" xr:uid="{00000000-0005-0000-0000-0000EB020000}"/>
    <cellStyle name="Note 3 5" xfId="434" xr:uid="{00000000-0005-0000-0000-0000EC020000}"/>
    <cellStyle name="Note 4" xfId="45" xr:uid="{00000000-0005-0000-0000-0000ED020000}"/>
    <cellStyle name="Note 4 2" xfId="162" xr:uid="{00000000-0005-0000-0000-0000EE020000}"/>
    <cellStyle name="Note 4 2 2" xfId="777" xr:uid="{00000000-0005-0000-0000-0000EF020000}"/>
    <cellStyle name="Note 4 3" xfId="250" xr:uid="{00000000-0005-0000-0000-0000F0020000}"/>
    <cellStyle name="Note 4 3 2" xfId="778" xr:uid="{00000000-0005-0000-0000-0000F1020000}"/>
    <cellStyle name="Note 4 4" xfId="333" xr:uid="{00000000-0005-0000-0000-0000F2020000}"/>
    <cellStyle name="Note 4 4 2" xfId="779" xr:uid="{00000000-0005-0000-0000-0000F3020000}"/>
    <cellStyle name="Note 4 5" xfId="433" xr:uid="{00000000-0005-0000-0000-0000F4020000}"/>
    <cellStyle name="Note 5" xfId="44" xr:uid="{00000000-0005-0000-0000-0000F5020000}"/>
    <cellStyle name="Note 5 2" xfId="161" xr:uid="{00000000-0005-0000-0000-0000F6020000}"/>
    <cellStyle name="Note 5 2 2" xfId="780" xr:uid="{00000000-0005-0000-0000-0000F7020000}"/>
    <cellStyle name="Note 5 3" xfId="249" xr:uid="{00000000-0005-0000-0000-0000F8020000}"/>
    <cellStyle name="Note 5 3 2" xfId="781" xr:uid="{00000000-0005-0000-0000-0000F9020000}"/>
    <cellStyle name="Note 5 4" xfId="332" xr:uid="{00000000-0005-0000-0000-0000FA020000}"/>
    <cellStyle name="Note 5 4 2" xfId="782" xr:uid="{00000000-0005-0000-0000-0000FB020000}"/>
    <cellStyle name="Note 5 5" xfId="432" xr:uid="{00000000-0005-0000-0000-0000FC020000}"/>
    <cellStyle name="Note 6" xfId="89" xr:uid="{00000000-0005-0000-0000-0000FD020000}"/>
    <cellStyle name="Note 6 2" xfId="203" xr:uid="{00000000-0005-0000-0000-0000FE020000}"/>
    <cellStyle name="Note 6 2 2" xfId="783" xr:uid="{00000000-0005-0000-0000-0000FF020000}"/>
    <cellStyle name="Note 6 3" xfId="289" xr:uid="{00000000-0005-0000-0000-000000030000}"/>
    <cellStyle name="Note 6 3 2" xfId="784" xr:uid="{00000000-0005-0000-0000-000001030000}"/>
    <cellStyle name="Note 6 4" xfId="371" xr:uid="{00000000-0005-0000-0000-000002030000}"/>
    <cellStyle name="Note 6 4 2" xfId="785" xr:uid="{00000000-0005-0000-0000-000003030000}"/>
    <cellStyle name="Note 6 5" xfId="471" xr:uid="{00000000-0005-0000-0000-000004030000}"/>
    <cellStyle name="Note 7" xfId="102" xr:uid="{00000000-0005-0000-0000-000005030000}"/>
    <cellStyle name="Note 7 2" xfId="216" xr:uid="{00000000-0005-0000-0000-000006030000}"/>
    <cellStyle name="Note 7 2 2" xfId="786" xr:uid="{00000000-0005-0000-0000-000007030000}"/>
    <cellStyle name="Note 7 3" xfId="302" xr:uid="{00000000-0005-0000-0000-000008030000}"/>
    <cellStyle name="Note 7 3 2" xfId="787" xr:uid="{00000000-0005-0000-0000-000009030000}"/>
    <cellStyle name="Note 7 4" xfId="384" xr:uid="{00000000-0005-0000-0000-00000A030000}"/>
    <cellStyle name="Note 7 4 2" xfId="788" xr:uid="{00000000-0005-0000-0000-00000B030000}"/>
    <cellStyle name="Note 7 5" xfId="484" xr:uid="{00000000-0005-0000-0000-00000C030000}"/>
    <cellStyle name="Note 8" xfId="119" xr:uid="{00000000-0005-0000-0000-00000D030000}"/>
    <cellStyle name="Note 8 2" xfId="231" xr:uid="{00000000-0005-0000-0000-00000E030000}"/>
    <cellStyle name="Note 8 2 2" xfId="789" xr:uid="{00000000-0005-0000-0000-00000F030000}"/>
    <cellStyle name="Note 8 3" xfId="316" xr:uid="{00000000-0005-0000-0000-000010030000}"/>
    <cellStyle name="Note 8 3 2" xfId="790" xr:uid="{00000000-0005-0000-0000-000011030000}"/>
    <cellStyle name="Note 8 4" xfId="398" xr:uid="{00000000-0005-0000-0000-000012030000}"/>
    <cellStyle name="Note 8 4 2" xfId="791" xr:uid="{00000000-0005-0000-0000-000013030000}"/>
    <cellStyle name="Note 8 5" xfId="499" xr:uid="{00000000-0005-0000-0000-000014030000}"/>
    <cellStyle name="Note 9" xfId="416" xr:uid="{00000000-0005-0000-0000-000015030000}"/>
    <cellStyle name="Note 9 2" xfId="514" xr:uid="{00000000-0005-0000-0000-000016030000}"/>
    <cellStyle name="Output" xfId="10" builtinId="21" customBuiltin="1"/>
    <cellStyle name="Percent" xfId="794" builtinId="5"/>
    <cellStyle name="Percent 2" xfId="418" xr:uid="{00000000-0005-0000-0000-000019030000}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0FF99"/>
      <color rgb="FF33CC33"/>
      <color rgb="FF00FF00"/>
      <color rgb="FF006600"/>
      <color rgb="FF3301BF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8466</xdr:colOff>
      <xdr:row>23</xdr:row>
      <xdr:rowOff>127001</xdr:rowOff>
    </xdr:from>
    <xdr:to>
      <xdr:col>4</xdr:col>
      <xdr:colOff>67733</xdr:colOff>
      <xdr:row>24</xdr:row>
      <xdr:rowOff>42333</xdr:rowOff>
    </xdr:to>
    <xdr:cxnSp macro="">
      <xdr:nvCxnSpPr>
        <xdr:cNvPr id="2" name="Curved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5088466" y="3598334"/>
          <a:ext cx="287867" cy="203199"/>
        </a:xfrm>
        <a:prstGeom prst="curved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143935</xdr:colOff>
      <xdr:row>23</xdr:row>
      <xdr:rowOff>237067</xdr:rowOff>
    </xdr:from>
    <xdr:to>
      <xdr:col>7</xdr:col>
      <xdr:colOff>237067</xdr:colOff>
      <xdr:row>44</xdr:row>
      <xdr:rowOff>115769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2535" y="3708400"/>
          <a:ext cx="5079999" cy="32399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23</xdr:row>
      <xdr:rowOff>67734</xdr:rowOff>
    </xdr:from>
    <xdr:to>
      <xdr:col>4</xdr:col>
      <xdr:colOff>211666</xdr:colOff>
      <xdr:row>24</xdr:row>
      <xdr:rowOff>127000</xdr:rowOff>
    </xdr:to>
    <xdr:cxnSp macro="">
      <xdr:nvCxnSpPr>
        <xdr:cNvPr id="3" name="Curved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4833620" y="3550074"/>
          <a:ext cx="414866" cy="204046"/>
        </a:xfrm>
        <a:prstGeom prst="curved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355600</xdr:colOff>
      <xdr:row>23</xdr:row>
      <xdr:rowOff>93134</xdr:rowOff>
    </xdr:from>
    <xdr:to>
      <xdr:col>7</xdr:col>
      <xdr:colOff>538672</xdr:colOff>
      <xdr:row>45</xdr:row>
      <xdr:rowOff>67733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3267" y="3564467"/>
          <a:ext cx="5042938" cy="31411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8466</xdr:colOff>
      <xdr:row>24</xdr:row>
      <xdr:rowOff>127001</xdr:rowOff>
    </xdr:from>
    <xdr:to>
      <xdr:col>4</xdr:col>
      <xdr:colOff>67733</xdr:colOff>
      <xdr:row>25</xdr:row>
      <xdr:rowOff>42333</xdr:rowOff>
    </xdr:to>
    <xdr:cxnSp macro="">
      <xdr:nvCxnSpPr>
        <xdr:cNvPr id="2" name="Curved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>
          <a:off x="4951941" y="3727451"/>
          <a:ext cx="278342" cy="220132"/>
        </a:xfrm>
        <a:prstGeom prst="curved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</xdr:colOff>
      <xdr:row>25</xdr:row>
      <xdr:rowOff>0</xdr:rowOff>
    </xdr:from>
    <xdr:to>
      <xdr:col>9</xdr:col>
      <xdr:colOff>487681</xdr:colOff>
      <xdr:row>60</xdr:row>
      <xdr:rowOff>108485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54119FA-4C40-4003-9DD0-A747C5FA6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8761" y="3771900"/>
          <a:ext cx="6736080" cy="53662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11</xdr:col>
      <xdr:colOff>513448</xdr:colOff>
      <xdr:row>55</xdr:row>
      <xdr:rowOff>21998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D226E30-59B9-491B-9D16-9A0C0501B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46960"/>
          <a:ext cx="7219048" cy="68952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8466</xdr:colOff>
      <xdr:row>24</xdr:row>
      <xdr:rowOff>127001</xdr:rowOff>
    </xdr:from>
    <xdr:to>
      <xdr:col>4</xdr:col>
      <xdr:colOff>67733</xdr:colOff>
      <xdr:row>25</xdr:row>
      <xdr:rowOff>42333</xdr:rowOff>
    </xdr:to>
    <xdr:cxnSp macro="">
      <xdr:nvCxnSpPr>
        <xdr:cNvPr id="2" name="Curved Connector 1">
          <a:extLst>
            <a:ext uri="{FF2B5EF4-FFF2-40B4-BE49-F238E27FC236}">
              <a16:creationId xmlns:a16="http://schemas.microsoft.com/office/drawing/2014/main" id="{223BD9A0-FDB0-40D9-A875-B5271AFC9E16}"/>
            </a:ext>
          </a:extLst>
        </xdr:cNvPr>
        <xdr:cNvCxnSpPr/>
      </xdr:nvCxnSpPr>
      <xdr:spPr>
        <a:xfrm>
          <a:off x="4951941" y="3917951"/>
          <a:ext cx="287867" cy="220132"/>
        </a:xfrm>
        <a:prstGeom prst="curved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247650</xdr:colOff>
      <xdr:row>24</xdr:row>
      <xdr:rowOff>276225</xdr:rowOff>
    </xdr:from>
    <xdr:to>
      <xdr:col>9</xdr:col>
      <xdr:colOff>228600</xdr:colOff>
      <xdr:row>54</xdr:row>
      <xdr:rowOff>53612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A50136D-8826-49A8-97E9-0E4001C65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9725" y="4067175"/>
          <a:ext cx="6057900" cy="46732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8466</xdr:colOff>
      <xdr:row>24</xdr:row>
      <xdr:rowOff>127001</xdr:rowOff>
    </xdr:from>
    <xdr:to>
      <xdr:col>4</xdr:col>
      <xdr:colOff>67733</xdr:colOff>
      <xdr:row>25</xdr:row>
      <xdr:rowOff>42333</xdr:rowOff>
    </xdr:to>
    <xdr:cxnSp macro="">
      <xdr:nvCxnSpPr>
        <xdr:cNvPr id="2" name="Curved Connector 1">
          <a:extLst>
            <a:ext uri="{FF2B5EF4-FFF2-40B4-BE49-F238E27FC236}">
              <a16:creationId xmlns:a16="http://schemas.microsoft.com/office/drawing/2014/main" id="{083454B7-C96F-478B-9F45-6065DA72B236}"/>
            </a:ext>
          </a:extLst>
        </xdr:cNvPr>
        <xdr:cNvCxnSpPr/>
      </xdr:nvCxnSpPr>
      <xdr:spPr>
        <a:xfrm>
          <a:off x="4951941" y="3917951"/>
          <a:ext cx="287867" cy="220132"/>
        </a:xfrm>
        <a:prstGeom prst="curved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0</xdr:colOff>
      <xdr:row>25</xdr:row>
      <xdr:rowOff>0</xdr:rowOff>
    </xdr:from>
    <xdr:to>
      <xdr:col>8</xdr:col>
      <xdr:colOff>180975</xdr:colOff>
      <xdr:row>52</xdr:row>
      <xdr:rowOff>22039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9198E1-6E22-4162-9F7E-41B85E146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2075" y="4095750"/>
          <a:ext cx="5648325" cy="430828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99060</xdr:colOff>
      <xdr:row>22</xdr:row>
      <xdr:rowOff>160020</xdr:rowOff>
    </xdr:from>
    <xdr:to>
      <xdr:col>5</xdr:col>
      <xdr:colOff>0</xdr:colOff>
      <xdr:row>24</xdr:row>
      <xdr:rowOff>22860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/>
        </xdr:cNvSpPr>
      </xdr:nvSpPr>
      <xdr:spPr bwMode="auto">
        <a:xfrm rot="-5400000">
          <a:off x="1684020" y="4579620"/>
          <a:ext cx="19812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144780</xdr:colOff>
      <xdr:row>2</xdr:row>
      <xdr:rowOff>60960</xdr:rowOff>
    </xdr:from>
    <xdr:to>
      <xdr:col>2</xdr:col>
      <xdr:colOff>617220</xdr:colOff>
      <xdr:row>2</xdr:row>
      <xdr:rowOff>99060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/>
        </xdr:cNvSpPr>
      </xdr:nvSpPr>
      <xdr:spPr bwMode="auto">
        <a:xfrm rot="5400000">
          <a:off x="1764030" y="453390"/>
          <a:ext cx="3810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144780</xdr:colOff>
      <xdr:row>2</xdr:row>
      <xdr:rowOff>76200</xdr:rowOff>
    </xdr:from>
    <xdr:to>
      <xdr:col>4</xdr:col>
      <xdr:colOff>617220</xdr:colOff>
      <xdr:row>2</xdr:row>
      <xdr:rowOff>121920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/>
        </xdr:cNvSpPr>
      </xdr:nvSpPr>
      <xdr:spPr bwMode="auto">
        <a:xfrm rot="5400000">
          <a:off x="1760220" y="472440"/>
          <a:ext cx="4572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129540</xdr:colOff>
      <xdr:row>2</xdr:row>
      <xdr:rowOff>68580</xdr:rowOff>
    </xdr:from>
    <xdr:to>
      <xdr:col>6</xdr:col>
      <xdr:colOff>594360</xdr:colOff>
      <xdr:row>2</xdr:row>
      <xdr:rowOff>106680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/>
        </xdr:cNvSpPr>
      </xdr:nvSpPr>
      <xdr:spPr bwMode="auto">
        <a:xfrm rot="5400000">
          <a:off x="1764030" y="461010"/>
          <a:ext cx="3810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129540</xdr:colOff>
      <xdr:row>2</xdr:row>
      <xdr:rowOff>68580</xdr:rowOff>
    </xdr:from>
    <xdr:to>
      <xdr:col>8</xdr:col>
      <xdr:colOff>594360</xdr:colOff>
      <xdr:row>2</xdr:row>
      <xdr:rowOff>106680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>
          <a:spLocks/>
        </xdr:cNvSpPr>
      </xdr:nvSpPr>
      <xdr:spPr bwMode="auto">
        <a:xfrm rot="5400000">
          <a:off x="1764030" y="461010"/>
          <a:ext cx="3810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129540</xdr:colOff>
      <xdr:row>2</xdr:row>
      <xdr:rowOff>68580</xdr:rowOff>
    </xdr:from>
    <xdr:to>
      <xdr:col>10</xdr:col>
      <xdr:colOff>594360</xdr:colOff>
      <xdr:row>2</xdr:row>
      <xdr:rowOff>106680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>
          <a:spLocks/>
        </xdr:cNvSpPr>
      </xdr:nvSpPr>
      <xdr:spPr bwMode="auto">
        <a:xfrm rot="5400000">
          <a:off x="1764030" y="461010"/>
          <a:ext cx="3810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144780</xdr:colOff>
      <xdr:row>23</xdr:row>
      <xdr:rowOff>0</xdr:rowOff>
    </xdr:from>
    <xdr:to>
      <xdr:col>7</xdr:col>
      <xdr:colOff>45720</xdr:colOff>
      <xdr:row>24</xdr:row>
      <xdr:rowOff>30480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>
          <a:spLocks/>
        </xdr:cNvSpPr>
      </xdr:nvSpPr>
      <xdr:spPr bwMode="auto">
        <a:xfrm rot="-5400000">
          <a:off x="1684020" y="4587240"/>
          <a:ext cx="19812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205740</xdr:colOff>
      <xdr:row>22</xdr:row>
      <xdr:rowOff>144780</xdr:rowOff>
    </xdr:from>
    <xdr:to>
      <xdr:col>9</xdr:col>
      <xdr:colOff>106680</xdr:colOff>
      <xdr:row>24</xdr:row>
      <xdr:rowOff>7620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>
          <a:spLocks/>
        </xdr:cNvSpPr>
      </xdr:nvSpPr>
      <xdr:spPr bwMode="auto">
        <a:xfrm rot="-5400000">
          <a:off x="1684020" y="4564380"/>
          <a:ext cx="19812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243840</xdr:colOff>
      <xdr:row>23</xdr:row>
      <xdr:rowOff>7620</xdr:rowOff>
    </xdr:from>
    <xdr:to>
      <xdr:col>11</xdr:col>
      <xdr:colOff>144780</xdr:colOff>
      <xdr:row>24</xdr:row>
      <xdr:rowOff>38100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>
          <a:spLocks/>
        </xdr:cNvSpPr>
      </xdr:nvSpPr>
      <xdr:spPr bwMode="auto">
        <a:xfrm rot="-5400000">
          <a:off x="1684020" y="4594860"/>
          <a:ext cx="19812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129540</xdr:colOff>
      <xdr:row>2</xdr:row>
      <xdr:rowOff>68580</xdr:rowOff>
    </xdr:from>
    <xdr:to>
      <xdr:col>12</xdr:col>
      <xdr:colOff>594360</xdr:colOff>
      <xdr:row>2</xdr:row>
      <xdr:rowOff>106680</xdr:rowOff>
    </xdr:to>
    <xdr:sp macro="" textlink="">
      <xdr:nvSpPr>
        <xdr:cNvPr id="11" name="AutoShape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>
          <a:spLocks/>
        </xdr:cNvSpPr>
      </xdr:nvSpPr>
      <xdr:spPr bwMode="auto">
        <a:xfrm rot="5400000">
          <a:off x="1764030" y="461010"/>
          <a:ext cx="3810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243840</xdr:colOff>
      <xdr:row>23</xdr:row>
      <xdr:rowOff>7620</xdr:rowOff>
    </xdr:from>
    <xdr:to>
      <xdr:col>13</xdr:col>
      <xdr:colOff>144780</xdr:colOff>
      <xdr:row>24</xdr:row>
      <xdr:rowOff>38100</xdr:rowOff>
    </xdr:to>
    <xdr:sp macro="" textlink="">
      <xdr:nvSpPr>
        <xdr:cNvPr id="12" name="AutoShape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>
          <a:spLocks/>
        </xdr:cNvSpPr>
      </xdr:nvSpPr>
      <xdr:spPr bwMode="auto">
        <a:xfrm rot="-5400000">
          <a:off x="1756410" y="4522470"/>
          <a:ext cx="198120" cy="144780"/>
        </a:xfrm>
        <a:prstGeom prst="leftBrace">
          <a:avLst>
            <a:gd name="adj1" fmla="val 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115956</xdr:colOff>
      <xdr:row>2</xdr:row>
      <xdr:rowOff>24847</xdr:rowOff>
    </xdr:from>
    <xdr:to>
      <xdr:col>15</xdr:col>
      <xdr:colOff>496953</xdr:colOff>
      <xdr:row>2</xdr:row>
      <xdr:rowOff>115956</xdr:rowOff>
    </xdr:to>
    <xdr:sp macro="" textlink="">
      <xdr:nvSpPr>
        <xdr:cNvPr id="13" name="AutoShape 14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>
          <a:spLocks/>
        </xdr:cNvSpPr>
      </xdr:nvSpPr>
      <xdr:spPr bwMode="auto">
        <a:xfrm rot="5400000">
          <a:off x="2343976" y="-82825"/>
          <a:ext cx="91109" cy="1085019"/>
        </a:xfrm>
        <a:prstGeom prst="leftBracket">
          <a:avLst>
            <a:gd name="adj" fmla="val 26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546652</xdr:colOff>
      <xdr:row>23</xdr:row>
      <xdr:rowOff>49033</xdr:rowOff>
    </xdr:from>
    <xdr:to>
      <xdr:col>15</xdr:col>
      <xdr:colOff>615232</xdr:colOff>
      <xdr:row>24</xdr:row>
      <xdr:rowOff>5301</xdr:rowOff>
    </xdr:to>
    <xdr:sp macro="" textlink="">
      <xdr:nvSpPr>
        <xdr:cNvPr id="14" name="AutoShape 15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>
          <a:spLocks/>
        </xdr:cNvSpPr>
      </xdr:nvSpPr>
      <xdr:spPr bwMode="auto">
        <a:xfrm rot="-5400000">
          <a:off x="2603058" y="4188018"/>
          <a:ext cx="121920" cy="772602"/>
        </a:xfrm>
        <a:prstGeom prst="leftBrace">
          <a:avLst>
            <a:gd name="adj1" fmla="val 5545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28823</xdr:colOff>
      <xdr:row>2</xdr:row>
      <xdr:rowOff>44395</xdr:rowOff>
    </xdr:from>
    <xdr:to>
      <xdr:col>17</xdr:col>
      <xdr:colOff>501264</xdr:colOff>
      <xdr:row>2</xdr:row>
      <xdr:rowOff>82495</xdr:rowOff>
    </xdr:to>
    <xdr:sp macro="" textlink="">
      <xdr:nvSpPr>
        <xdr:cNvPr id="15" name="AutoShape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>
          <a:spLocks/>
        </xdr:cNvSpPr>
      </xdr:nvSpPr>
      <xdr:spPr bwMode="auto">
        <a:xfrm rot="5400000">
          <a:off x="3737113" y="-135503"/>
          <a:ext cx="38100" cy="1176462"/>
        </a:xfrm>
        <a:prstGeom prst="leftBracket">
          <a:avLst>
            <a:gd name="adj" fmla="val 2627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276639</xdr:colOff>
      <xdr:row>23</xdr:row>
      <xdr:rowOff>15902</xdr:rowOff>
    </xdr:from>
    <xdr:to>
      <xdr:col>18</xdr:col>
      <xdr:colOff>125068</xdr:colOff>
      <xdr:row>23</xdr:row>
      <xdr:rowOff>137822</xdr:rowOff>
    </xdr:to>
    <xdr:sp macro="" textlink="">
      <xdr:nvSpPr>
        <xdr:cNvPr id="16" name="AutoShape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>
          <a:spLocks/>
        </xdr:cNvSpPr>
      </xdr:nvSpPr>
      <xdr:spPr bwMode="auto">
        <a:xfrm rot="-5400000">
          <a:off x="3983024" y="3912952"/>
          <a:ext cx="121920" cy="1256472"/>
        </a:xfrm>
        <a:prstGeom prst="leftBrace">
          <a:avLst>
            <a:gd name="adj1" fmla="val 5610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293204</xdr:colOff>
      <xdr:row>23</xdr:row>
      <xdr:rowOff>40750</xdr:rowOff>
    </xdr:from>
    <xdr:to>
      <xdr:col>20</xdr:col>
      <xdr:colOff>141632</xdr:colOff>
      <xdr:row>23</xdr:row>
      <xdr:rowOff>162670</xdr:rowOff>
    </xdr:to>
    <xdr:sp macro="" textlink="">
      <xdr:nvSpPr>
        <xdr:cNvPr id="17" name="AutoShape 15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>
          <a:spLocks/>
        </xdr:cNvSpPr>
      </xdr:nvSpPr>
      <xdr:spPr bwMode="auto">
        <a:xfrm rot="-5400000">
          <a:off x="5407632" y="3937800"/>
          <a:ext cx="121920" cy="1256472"/>
        </a:xfrm>
        <a:prstGeom prst="leftBrace">
          <a:avLst>
            <a:gd name="adj1" fmla="val 5610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127552</xdr:colOff>
      <xdr:row>2</xdr:row>
      <xdr:rowOff>36112</xdr:rowOff>
    </xdr:from>
    <xdr:to>
      <xdr:col>19</xdr:col>
      <xdr:colOff>599992</xdr:colOff>
      <xdr:row>2</xdr:row>
      <xdr:rowOff>74212</xdr:rowOff>
    </xdr:to>
    <xdr:sp macro="" textlink="">
      <xdr:nvSpPr>
        <xdr:cNvPr id="18" name="AutoShape 14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>
          <a:spLocks/>
        </xdr:cNvSpPr>
      </xdr:nvSpPr>
      <xdr:spPr bwMode="auto">
        <a:xfrm rot="5400000">
          <a:off x="5243885" y="-143786"/>
          <a:ext cx="38100" cy="1176462"/>
        </a:xfrm>
        <a:prstGeom prst="leftBracket">
          <a:avLst>
            <a:gd name="adj" fmla="val 2627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301488</xdr:colOff>
      <xdr:row>23</xdr:row>
      <xdr:rowOff>32468</xdr:rowOff>
    </xdr:from>
    <xdr:to>
      <xdr:col>23</xdr:col>
      <xdr:colOff>149916</xdr:colOff>
      <xdr:row>23</xdr:row>
      <xdr:rowOff>154388</xdr:rowOff>
    </xdr:to>
    <xdr:sp macro="" textlink="">
      <xdr:nvSpPr>
        <xdr:cNvPr id="19" name="AutoShape 15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>
          <a:spLocks/>
        </xdr:cNvSpPr>
      </xdr:nvSpPr>
      <xdr:spPr bwMode="auto">
        <a:xfrm rot="-5400000">
          <a:off x="7175971" y="3577507"/>
          <a:ext cx="121920" cy="1960493"/>
        </a:xfrm>
        <a:prstGeom prst="leftBrace">
          <a:avLst>
            <a:gd name="adj1" fmla="val 8760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77858</xdr:colOff>
      <xdr:row>2</xdr:row>
      <xdr:rowOff>60961</xdr:rowOff>
    </xdr:from>
    <xdr:to>
      <xdr:col>22</xdr:col>
      <xdr:colOff>550298</xdr:colOff>
      <xdr:row>2</xdr:row>
      <xdr:rowOff>99061</xdr:rowOff>
    </xdr:to>
    <xdr:sp macro="" textlink="">
      <xdr:nvSpPr>
        <xdr:cNvPr id="20" name="AutoShape 14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>
          <a:spLocks/>
        </xdr:cNvSpPr>
      </xdr:nvSpPr>
      <xdr:spPr bwMode="auto">
        <a:xfrm rot="5400000">
          <a:off x="6954246" y="-470948"/>
          <a:ext cx="38100" cy="1880483"/>
        </a:xfrm>
        <a:prstGeom prst="leftBracket">
          <a:avLst>
            <a:gd name="adj" fmla="val 42239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374376</xdr:colOff>
      <xdr:row>2</xdr:row>
      <xdr:rowOff>31141</xdr:rowOff>
    </xdr:from>
    <xdr:to>
      <xdr:col>26</xdr:col>
      <xdr:colOff>7620</xdr:colOff>
      <xdr:row>2</xdr:row>
      <xdr:rowOff>76860</xdr:rowOff>
    </xdr:to>
    <xdr:sp macro="" textlink="">
      <xdr:nvSpPr>
        <xdr:cNvPr id="21" name="AutoShape 14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>
          <a:spLocks/>
        </xdr:cNvSpPr>
      </xdr:nvSpPr>
      <xdr:spPr bwMode="auto">
        <a:xfrm rot="5400000">
          <a:off x="10150338" y="-349361"/>
          <a:ext cx="45719" cy="1553484"/>
        </a:xfrm>
        <a:prstGeom prst="leftBracket">
          <a:avLst>
            <a:gd name="adj" fmla="val 2631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349857</xdr:colOff>
      <xdr:row>23</xdr:row>
      <xdr:rowOff>32467</xdr:rowOff>
    </xdr:from>
    <xdr:to>
      <xdr:col>24</xdr:col>
      <xdr:colOff>886239</xdr:colOff>
      <xdr:row>23</xdr:row>
      <xdr:rowOff>154387</xdr:rowOff>
    </xdr:to>
    <xdr:sp macro="" textlink="">
      <xdr:nvSpPr>
        <xdr:cNvPr id="22" name="AutoShape 15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>
          <a:spLocks/>
        </xdr:cNvSpPr>
      </xdr:nvSpPr>
      <xdr:spPr bwMode="auto">
        <a:xfrm rot="-5400000">
          <a:off x="8976360" y="3937551"/>
          <a:ext cx="121920" cy="1240404"/>
        </a:xfrm>
        <a:prstGeom prst="leftBrace">
          <a:avLst>
            <a:gd name="adj1" fmla="val 558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279400</xdr:colOff>
      <xdr:row>23</xdr:row>
      <xdr:rowOff>118534</xdr:rowOff>
    </xdr:from>
    <xdr:to>
      <xdr:col>6</xdr:col>
      <xdr:colOff>568503</xdr:colOff>
      <xdr:row>44</xdr:row>
      <xdr:rowOff>98474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40867" y="3589867"/>
          <a:ext cx="4488569" cy="300254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23</xdr:row>
      <xdr:rowOff>67734</xdr:rowOff>
    </xdr:from>
    <xdr:to>
      <xdr:col>4</xdr:col>
      <xdr:colOff>211666</xdr:colOff>
      <xdr:row>24</xdr:row>
      <xdr:rowOff>127000</xdr:rowOff>
    </xdr:to>
    <xdr:cxnSp macro="">
      <xdr:nvCxnSpPr>
        <xdr:cNvPr id="11" name="Curved Connector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>
          <a:off x="4758267" y="3539067"/>
          <a:ext cx="414866" cy="203200"/>
        </a:xfrm>
        <a:prstGeom prst="curved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POSCTL/HISTORY/Benefit%20ra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SERS detail"/>
      <sheetName val="ORP detail"/>
      <sheetName val="LEOB detail"/>
      <sheetName val="Retirement Summary"/>
    </sheetNames>
    <sheetDataSet>
      <sheetData sheetId="0"/>
      <sheetData sheetId="1">
        <row r="29">
          <cell r="L29">
            <v>2.6600000000000006E-2</v>
          </cell>
        </row>
      </sheetData>
      <sheetData sheetId="2">
        <row r="29">
          <cell r="L29">
            <v>0.11159999999999999</v>
          </cell>
        </row>
      </sheetData>
      <sheetData sheetId="3">
        <row r="29">
          <cell r="L29">
            <v>0.12139999999999998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ncga.state.nc.us/EnactedLegislation/Statutes/PDF/BySection/Chapter_143C/GS_143C-6-6.pdf" TargetMode="External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ncga.state.nc.us/EnactedLegislation/Statutes/PDF/BySection/Chapter_143C/GS_143C-6-6.pdf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ncga.state.nc.us/EnactedLegislation/Statutes/PDF/BySection/Chapter_143C/GS_143C-6-6.pdf" TargetMode="External"/><Relationship Id="rId4" Type="http://schemas.openxmlformats.org/officeDocument/2006/relationships/comments" Target="../comments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ncga.state.nc.us/EnactedLegislation/Statutes/PDF/BySection/Chapter_143C/GS_143C-6-6.pdf" TargetMode="External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ncga.state.nc.us/EnactedLegislation/Statutes/PDF/BySection/Chapter_143C/GS_143C-6-6.pdf" TargetMode="External"/><Relationship Id="rId4" Type="http://schemas.openxmlformats.org/officeDocument/2006/relationships/comments" Target="../comments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ncga.state.nc.us/EnactedLegislation/Statutes/PDF/BySection/Chapter_143C/GS_143C-6-6.pdf" TargetMode="External"/><Relationship Id="rId5" Type="http://schemas.openxmlformats.org/officeDocument/2006/relationships/comments" Target="../comments10.xml"/><Relationship Id="rId4" Type="http://schemas.openxmlformats.org/officeDocument/2006/relationships/vmlDrawing" Target="../drawings/vmlDrawing10.v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1.vml"/><Relationship Id="rId3" Type="http://schemas.openxmlformats.org/officeDocument/2006/relationships/hyperlink" Target="file:///C:\Users\kkillou2\GENERAL\FY08\Medical%20rate%20for%20budgeting%20purposes%2008.xls" TargetMode="External"/><Relationship Id="rId7" Type="http://schemas.openxmlformats.org/officeDocument/2006/relationships/drawing" Target="../drawings/drawing7.xml"/><Relationship Id="rId2" Type="http://schemas.openxmlformats.org/officeDocument/2006/relationships/hyperlink" Target="file:///C:\Users\kkillou2\GENERAL\FY08\Medical%20rate%20for%20budgeting%20purposes%2008.xls" TargetMode="External"/><Relationship Id="rId1" Type="http://schemas.openxmlformats.org/officeDocument/2006/relationships/hyperlink" Target="file:///C:\Users\kkillou2\GENERAL\FY08\Medical%20rate%20for%20budgeting%20purposes%2008.xls" TargetMode="External"/><Relationship Id="rId6" Type="http://schemas.openxmlformats.org/officeDocument/2006/relationships/printerSettings" Target="../printerSettings/printerSettings19.bin"/><Relationship Id="rId5" Type="http://schemas.openxmlformats.org/officeDocument/2006/relationships/hyperlink" Target="file:///C:\Users\kkillou2\GENERAL\FY08\Medical%20rate%20for%20budgeting%20purposes%2008.xls" TargetMode="External"/><Relationship Id="rId4" Type="http://schemas.openxmlformats.org/officeDocument/2006/relationships/hyperlink" Target="file:///C:\Users\kkillou2\GENERAL\FY08\Medical%20rate%20for%20budgeting%20purposes%2008.xls" TargetMode="External"/><Relationship Id="rId9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cga.state.nc.us/EnactedLegislation/Statutes/PDF/BySection/Chapter_143C/GS_143C-6-6.pdf" TargetMode="External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2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ncga.state.nc.us/EnactedLegislation/Statutes/PDF/BySection/Chapter_143C/GS_143C-6-6.pdf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8"/>
  <sheetViews>
    <sheetView workbookViewId="0"/>
  </sheetViews>
  <sheetFormatPr defaultColWidth="8.85546875" defaultRowHeight="11.25" x14ac:dyDescent="0.2"/>
  <cols>
    <col min="1" max="1" width="11" style="208" customWidth="1"/>
    <col min="2" max="2" width="40.42578125" style="204" customWidth="1"/>
    <col min="3" max="3" width="8.5703125" style="204" customWidth="1"/>
    <col min="4" max="4" width="6.140625" style="204" bestFit="1" customWidth="1"/>
    <col min="5" max="7" width="8.5703125" style="208" customWidth="1"/>
    <col min="8" max="9" width="8.5703125" style="204" customWidth="1"/>
    <col min="10" max="10" width="3.85546875" style="204" customWidth="1"/>
    <col min="11" max="11" width="29.5703125" style="204" customWidth="1"/>
    <col min="12" max="16384" width="8.85546875" style="204"/>
  </cols>
  <sheetData>
    <row r="1" spans="1:11" ht="15" x14ac:dyDescent="0.25">
      <c r="E1" s="376" t="s">
        <v>178</v>
      </c>
      <c r="F1" s="376"/>
      <c r="G1" s="376"/>
      <c r="H1" s="376"/>
      <c r="I1" s="247"/>
      <c r="J1" s="247"/>
      <c r="K1" s="263" t="s">
        <v>201</v>
      </c>
    </row>
    <row r="2" spans="1:11" s="207" customFormat="1" ht="68.45" customHeight="1" x14ac:dyDescent="0.2">
      <c r="A2" s="206" t="s">
        <v>136</v>
      </c>
      <c r="B2" s="207" t="s">
        <v>137</v>
      </c>
      <c r="C2" s="207" t="s">
        <v>159</v>
      </c>
      <c r="D2" s="206" t="s">
        <v>138</v>
      </c>
      <c r="E2" s="231" t="s">
        <v>146</v>
      </c>
      <c r="F2" s="231" t="s">
        <v>147</v>
      </c>
      <c r="G2" s="231" t="s">
        <v>148</v>
      </c>
      <c r="H2" s="241" t="s">
        <v>187</v>
      </c>
      <c r="I2" s="265" t="s">
        <v>199</v>
      </c>
      <c r="J2" s="260"/>
      <c r="K2" s="272" t="s">
        <v>199</v>
      </c>
    </row>
    <row r="3" spans="1:11" x14ac:dyDescent="0.2">
      <c r="A3" s="209">
        <v>10</v>
      </c>
      <c r="B3" s="210" t="s">
        <v>229</v>
      </c>
      <c r="C3" s="209" t="s">
        <v>155</v>
      </c>
      <c r="D3" s="210">
        <v>912100</v>
      </c>
      <c r="E3" s="211">
        <v>7.6499999999999999E-2</v>
      </c>
      <c r="F3" s="211">
        <v>0.1633</v>
      </c>
      <c r="G3" s="251"/>
      <c r="H3" s="232">
        <v>5659</v>
      </c>
      <c r="I3" s="269" t="s">
        <v>198</v>
      </c>
      <c r="J3" s="248"/>
      <c r="K3" s="273" t="s">
        <v>198</v>
      </c>
    </row>
    <row r="4" spans="1:11" x14ac:dyDescent="0.2">
      <c r="A4" s="212">
        <v>10</v>
      </c>
      <c r="B4" s="213" t="s">
        <v>230</v>
      </c>
      <c r="C4" s="209" t="s">
        <v>156</v>
      </c>
      <c r="D4" s="210">
        <v>912100</v>
      </c>
      <c r="E4" s="214">
        <v>7.6499999999999999E-2</v>
      </c>
      <c r="F4" s="249"/>
      <c r="G4" s="250"/>
      <c r="H4" s="257"/>
      <c r="I4" s="270" t="s">
        <v>198</v>
      </c>
      <c r="J4" s="248"/>
      <c r="K4" s="275" t="s">
        <v>198</v>
      </c>
    </row>
    <row r="5" spans="1:11" x14ac:dyDescent="0.2">
      <c r="A5" s="212">
        <v>15</v>
      </c>
      <c r="B5" s="213" t="s">
        <v>231</v>
      </c>
      <c r="C5" s="253"/>
      <c r="D5" s="213">
        <v>915900</v>
      </c>
      <c r="E5" s="215">
        <v>7.6499999999999999E-2</v>
      </c>
      <c r="F5" s="249"/>
      <c r="G5" s="250"/>
      <c r="H5" s="257"/>
      <c r="I5" s="271" t="s">
        <v>200</v>
      </c>
      <c r="J5" s="248"/>
      <c r="K5" s="275" t="s">
        <v>198</v>
      </c>
    </row>
    <row r="6" spans="1:11" x14ac:dyDescent="0.2">
      <c r="A6" s="212">
        <v>18</v>
      </c>
      <c r="B6" s="213" t="s">
        <v>232</v>
      </c>
      <c r="C6" s="253"/>
      <c r="D6" s="213">
        <v>915900</v>
      </c>
      <c r="E6" s="215">
        <v>7.6499999999999999E-2</v>
      </c>
      <c r="F6" s="249"/>
      <c r="G6" s="250"/>
      <c r="H6" s="257"/>
      <c r="I6" s="271" t="s">
        <v>200</v>
      </c>
      <c r="J6" s="248"/>
      <c r="K6" s="275" t="s">
        <v>198</v>
      </c>
    </row>
    <row r="7" spans="1:11" x14ac:dyDescent="0.2">
      <c r="A7" s="212">
        <v>19</v>
      </c>
      <c r="B7" s="213" t="s">
        <v>233</v>
      </c>
      <c r="C7" s="253"/>
      <c r="D7" s="213">
        <v>915900</v>
      </c>
      <c r="E7" s="215">
        <v>7.6499999999999999E-2</v>
      </c>
      <c r="F7" s="249"/>
      <c r="G7" s="250"/>
      <c r="H7" s="257"/>
      <c r="I7" s="271" t="s">
        <v>200</v>
      </c>
      <c r="J7" s="248"/>
      <c r="K7" s="275" t="s">
        <v>198</v>
      </c>
    </row>
    <row r="8" spans="1:11" x14ac:dyDescent="0.2">
      <c r="A8" s="212">
        <v>20</v>
      </c>
      <c r="B8" s="213" t="s">
        <v>234</v>
      </c>
      <c r="C8" s="209" t="s">
        <v>155</v>
      </c>
      <c r="D8" s="213">
        <v>911100</v>
      </c>
      <c r="E8" s="215">
        <v>7.6499999999999999E-2</v>
      </c>
      <c r="F8" s="249"/>
      <c r="G8" s="215">
        <v>0.1303</v>
      </c>
      <c r="H8" s="234">
        <v>5659</v>
      </c>
      <c r="I8" s="270" t="s">
        <v>198</v>
      </c>
      <c r="J8" s="248"/>
      <c r="K8" s="275" t="s">
        <v>198</v>
      </c>
    </row>
    <row r="9" spans="1:11" x14ac:dyDescent="0.2">
      <c r="A9" s="212">
        <v>20</v>
      </c>
      <c r="B9" s="213" t="s">
        <v>235</v>
      </c>
      <c r="C9" s="209" t="s">
        <v>156</v>
      </c>
      <c r="D9" s="213">
        <v>911100</v>
      </c>
      <c r="E9" s="215">
        <v>7.6499999999999999E-2</v>
      </c>
      <c r="F9" s="249"/>
      <c r="G9" s="249"/>
      <c r="H9" s="257"/>
      <c r="I9" s="270" t="s">
        <v>198</v>
      </c>
      <c r="J9" s="248"/>
      <c r="K9" s="275" t="s">
        <v>198</v>
      </c>
    </row>
    <row r="10" spans="1:11" x14ac:dyDescent="0.2">
      <c r="A10" s="212">
        <v>30</v>
      </c>
      <c r="B10" s="213" t="s">
        <v>236</v>
      </c>
      <c r="C10" s="212">
        <v>1</v>
      </c>
      <c r="D10" s="213">
        <v>913100</v>
      </c>
      <c r="E10" s="215">
        <v>7.6499999999999999E-2</v>
      </c>
      <c r="F10" s="249"/>
      <c r="G10" s="215">
        <v>0.1303</v>
      </c>
      <c r="H10" s="234">
        <v>5659</v>
      </c>
      <c r="I10" s="270" t="s">
        <v>198</v>
      </c>
      <c r="J10" s="248"/>
      <c r="K10" s="275" t="s">
        <v>198</v>
      </c>
    </row>
    <row r="11" spans="1:11" x14ac:dyDescent="0.2">
      <c r="A11" s="212">
        <v>32</v>
      </c>
      <c r="B11" s="213" t="s">
        <v>237</v>
      </c>
      <c r="C11" s="212">
        <v>1</v>
      </c>
      <c r="D11" s="213">
        <v>913100</v>
      </c>
      <c r="E11" s="215">
        <v>7.6499999999999999E-2</v>
      </c>
      <c r="F11" s="250"/>
      <c r="G11" s="215">
        <v>0.1303</v>
      </c>
      <c r="H11" s="234">
        <v>5659</v>
      </c>
      <c r="I11" s="270" t="s">
        <v>198</v>
      </c>
      <c r="J11" s="248"/>
      <c r="K11" s="275" t="s">
        <v>198</v>
      </c>
    </row>
    <row r="12" spans="1:11" x14ac:dyDescent="0.2">
      <c r="A12" s="212">
        <v>36</v>
      </c>
      <c r="B12" s="213" t="s">
        <v>238</v>
      </c>
      <c r="C12" s="212">
        <v>1</v>
      </c>
      <c r="D12" s="213">
        <v>913100</v>
      </c>
      <c r="E12" s="215">
        <v>7.6499999999999999E-2</v>
      </c>
      <c r="F12" s="250"/>
      <c r="G12" s="215">
        <v>0.1303</v>
      </c>
      <c r="H12" s="234">
        <v>5659</v>
      </c>
      <c r="I12" s="270" t="s">
        <v>198</v>
      </c>
      <c r="J12" s="248"/>
      <c r="K12" s="275" t="s">
        <v>198</v>
      </c>
    </row>
    <row r="13" spans="1:11" x14ac:dyDescent="0.2">
      <c r="A13" s="212">
        <v>40</v>
      </c>
      <c r="B13" s="213" t="s">
        <v>239</v>
      </c>
      <c r="C13" s="264"/>
      <c r="D13" s="213">
        <v>911200</v>
      </c>
      <c r="E13" s="214">
        <v>7.6499999999999999E-2</v>
      </c>
      <c r="F13" s="249"/>
      <c r="G13" s="255"/>
      <c r="H13" s="257" t="s">
        <v>218</v>
      </c>
      <c r="I13" s="271" t="s">
        <v>200</v>
      </c>
      <c r="J13" s="248"/>
      <c r="K13" s="275" t="s">
        <v>198</v>
      </c>
    </row>
    <row r="14" spans="1:11" x14ac:dyDescent="0.2">
      <c r="A14" s="212">
        <v>50</v>
      </c>
      <c r="B14" s="213" t="s">
        <v>240</v>
      </c>
      <c r="C14" s="264"/>
      <c r="D14" s="213">
        <v>911200</v>
      </c>
      <c r="E14" s="214">
        <v>7.6499999999999999E-2</v>
      </c>
      <c r="F14" s="252"/>
      <c r="G14" s="255"/>
      <c r="H14" s="256"/>
      <c r="I14" s="271" t="s">
        <v>200</v>
      </c>
      <c r="J14" s="248"/>
      <c r="K14" s="275" t="s">
        <v>198</v>
      </c>
    </row>
    <row r="15" spans="1:11" x14ac:dyDescent="0.2">
      <c r="A15" s="212">
        <v>45</v>
      </c>
      <c r="B15" s="213" t="s">
        <v>241</v>
      </c>
      <c r="C15" s="264"/>
      <c r="D15" s="213">
        <v>911300</v>
      </c>
      <c r="E15" s="215">
        <v>7.6499999999999999E-2</v>
      </c>
      <c r="F15" s="252"/>
      <c r="G15" s="255"/>
      <c r="H15" s="256"/>
      <c r="I15" s="271" t="s">
        <v>200</v>
      </c>
      <c r="J15" s="248"/>
      <c r="K15" s="275" t="s">
        <v>198</v>
      </c>
    </row>
    <row r="16" spans="1:11" x14ac:dyDescent="0.2">
      <c r="A16" s="212">
        <v>45</v>
      </c>
      <c r="B16" s="213" t="s">
        <v>242</v>
      </c>
      <c r="C16" s="264"/>
      <c r="D16" s="213">
        <v>913300</v>
      </c>
      <c r="E16" s="215">
        <v>7.6499999999999999E-2</v>
      </c>
      <c r="F16" s="252"/>
      <c r="G16" s="255"/>
      <c r="H16" s="256"/>
      <c r="I16" s="271" t="s">
        <v>200</v>
      </c>
      <c r="J16" s="248"/>
      <c r="K16" s="275" t="s">
        <v>198</v>
      </c>
    </row>
    <row r="17" spans="1:11" x14ac:dyDescent="0.2">
      <c r="A17" s="212">
        <v>50</v>
      </c>
      <c r="B17" s="213" t="s">
        <v>243</v>
      </c>
      <c r="C17" s="264"/>
      <c r="D17" s="213">
        <v>913200</v>
      </c>
      <c r="E17" s="215">
        <v>7.6499999999999999E-2</v>
      </c>
      <c r="F17" s="252"/>
      <c r="G17" s="255"/>
      <c r="H17" s="256"/>
      <c r="I17" s="271" t="s">
        <v>200</v>
      </c>
      <c r="J17" s="248"/>
      <c r="K17" s="275" t="s">
        <v>198</v>
      </c>
    </row>
    <row r="18" spans="1:11" x14ac:dyDescent="0.2">
      <c r="A18" s="212">
        <v>60</v>
      </c>
      <c r="B18" s="213" t="s">
        <v>161</v>
      </c>
      <c r="C18" s="213" t="s">
        <v>160</v>
      </c>
      <c r="D18" s="213">
        <v>913250</v>
      </c>
      <c r="E18" s="214" t="s">
        <v>174</v>
      </c>
      <c r="F18" s="253"/>
      <c r="G18" s="250"/>
      <c r="H18" s="257"/>
      <c r="I18" s="271" t="s">
        <v>200</v>
      </c>
      <c r="J18" s="261"/>
      <c r="K18" s="249" t="s">
        <v>200</v>
      </c>
    </row>
    <row r="19" spans="1:11" x14ac:dyDescent="0.2">
      <c r="A19" s="212">
        <v>60</v>
      </c>
      <c r="B19" s="213" t="s">
        <v>162</v>
      </c>
      <c r="C19" s="213" t="s">
        <v>160</v>
      </c>
      <c r="D19" s="213">
        <v>911250</v>
      </c>
      <c r="E19" s="214" t="s">
        <v>174</v>
      </c>
      <c r="F19" s="253"/>
      <c r="G19" s="250"/>
      <c r="H19" s="257"/>
      <c r="I19" s="271" t="s">
        <v>200</v>
      </c>
      <c r="J19" s="261"/>
      <c r="K19" s="249" t="s">
        <v>200</v>
      </c>
    </row>
    <row r="20" spans="1:11" x14ac:dyDescent="0.2">
      <c r="A20" s="212">
        <v>60</v>
      </c>
      <c r="B20" s="213" t="s">
        <v>163</v>
      </c>
      <c r="C20" s="213" t="s">
        <v>160</v>
      </c>
      <c r="D20" s="213">
        <v>911260</v>
      </c>
      <c r="E20" s="214" t="s">
        <v>174</v>
      </c>
      <c r="F20" s="253"/>
      <c r="G20" s="250"/>
      <c r="H20" s="257"/>
      <c r="I20" s="271" t="s">
        <v>200</v>
      </c>
      <c r="J20" s="261"/>
      <c r="K20" s="249" t="s">
        <v>200</v>
      </c>
    </row>
    <row r="21" spans="1:11" x14ac:dyDescent="0.2">
      <c r="A21" s="212">
        <v>70</v>
      </c>
      <c r="B21" s="213" t="s">
        <v>164</v>
      </c>
      <c r="C21" s="213" t="s">
        <v>165</v>
      </c>
      <c r="D21" s="213">
        <v>915020</v>
      </c>
      <c r="E21" s="228" t="s">
        <v>174</v>
      </c>
      <c r="F21" s="250"/>
      <c r="G21" s="250"/>
      <c r="H21" s="258"/>
      <c r="I21" s="271" t="s">
        <v>200</v>
      </c>
      <c r="J21" s="262"/>
      <c r="K21" s="249" t="s">
        <v>200</v>
      </c>
    </row>
    <row r="22" spans="1:11" x14ac:dyDescent="0.2">
      <c r="A22" s="212">
        <v>72</v>
      </c>
      <c r="B22" s="213" t="s">
        <v>150</v>
      </c>
      <c r="C22" s="213" t="s">
        <v>165</v>
      </c>
      <c r="D22" s="213">
        <v>915020</v>
      </c>
      <c r="E22" s="228" t="s">
        <v>174</v>
      </c>
      <c r="F22" s="250"/>
      <c r="G22" s="250"/>
      <c r="H22" s="258"/>
      <c r="I22" s="271" t="s">
        <v>200</v>
      </c>
      <c r="J22" s="262"/>
      <c r="K22" s="249" t="s">
        <v>200</v>
      </c>
    </row>
    <row r="23" spans="1:11" x14ac:dyDescent="0.2">
      <c r="A23" s="212">
        <v>75</v>
      </c>
      <c r="B23" s="213" t="s">
        <v>152</v>
      </c>
      <c r="C23" s="213" t="s">
        <v>165</v>
      </c>
      <c r="D23" s="213">
        <v>915020</v>
      </c>
      <c r="E23" s="228" t="s">
        <v>174</v>
      </c>
      <c r="F23" s="250"/>
      <c r="G23" s="250"/>
      <c r="H23" s="258"/>
      <c r="I23" s="271" t="s">
        <v>200</v>
      </c>
      <c r="J23" s="262"/>
      <c r="K23" s="249" t="s">
        <v>200</v>
      </c>
    </row>
    <row r="24" spans="1:11" x14ac:dyDescent="0.2">
      <c r="A24" s="212" t="s">
        <v>172</v>
      </c>
      <c r="B24" s="213" t="s">
        <v>173</v>
      </c>
      <c r="C24" s="213" t="s">
        <v>170</v>
      </c>
      <c r="D24" s="227" t="s">
        <v>171</v>
      </c>
      <c r="E24" s="230" t="s">
        <v>174</v>
      </c>
      <c r="F24" s="254"/>
      <c r="G24" s="254"/>
      <c r="H24" s="259"/>
      <c r="I24" s="271" t="s">
        <v>200</v>
      </c>
      <c r="J24" s="262"/>
      <c r="K24" s="249" t="s">
        <v>200</v>
      </c>
    </row>
    <row r="25" spans="1:11" x14ac:dyDescent="0.2">
      <c r="H25" s="208"/>
      <c r="I25" s="208"/>
      <c r="J25" s="208"/>
    </row>
    <row r="26" spans="1:11" x14ac:dyDescent="0.2">
      <c r="A26" s="226" t="s">
        <v>167</v>
      </c>
      <c r="B26" s="204" t="s">
        <v>244</v>
      </c>
      <c r="H26" s="208"/>
      <c r="I26" s="208"/>
      <c r="J26" s="208"/>
    </row>
    <row r="27" spans="1:11" x14ac:dyDescent="0.2">
      <c r="A27" s="226" t="s">
        <v>168</v>
      </c>
      <c r="B27" s="204" t="s">
        <v>169</v>
      </c>
      <c r="H27" s="208"/>
      <c r="I27" s="208"/>
      <c r="J27" s="208"/>
    </row>
    <row r="30" spans="1:11" ht="12.75" x14ac:dyDescent="0.2">
      <c r="B30" s="285"/>
    </row>
    <row r="31" spans="1:11" ht="12.75" x14ac:dyDescent="0.2">
      <c r="B31" s="115"/>
    </row>
    <row r="32" spans="1:11" ht="12.75" x14ac:dyDescent="0.2">
      <c r="B32" s="285"/>
    </row>
    <row r="33" spans="2:2" ht="12.75" x14ac:dyDescent="0.2">
      <c r="B33" s="115"/>
    </row>
    <row r="34" spans="2:2" ht="12.75" x14ac:dyDescent="0.2">
      <c r="B34" s="285"/>
    </row>
    <row r="35" spans="2:2" ht="12.75" x14ac:dyDescent="0.2">
      <c r="B35" s="115"/>
    </row>
    <row r="36" spans="2:2" ht="12.75" x14ac:dyDescent="0.2">
      <c r="B36" s="285"/>
    </row>
    <row r="37" spans="2:2" ht="12.75" x14ac:dyDescent="0.2">
      <c r="B37" s="115"/>
    </row>
    <row r="38" spans="2:2" ht="12.75" x14ac:dyDescent="0.2">
      <c r="B38" s="285"/>
    </row>
  </sheetData>
  <mergeCells count="1">
    <mergeCell ref="E1:H1"/>
  </mergeCells>
  <pageMargins left="0.7" right="0.7" top="0.75" bottom="0.75" header="0.3" footer="0.3"/>
  <pageSetup scale="85" orientation="landscape" r:id="rId1"/>
  <headerFooter>
    <oddFooter>&amp;L&amp;Z&amp;F&amp;RPage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33CC33"/>
  </sheetPr>
  <dimension ref="A1:L34"/>
  <sheetViews>
    <sheetView topLeftCell="A4" workbookViewId="0">
      <selection activeCell="A29" sqref="A29"/>
    </sheetView>
  </sheetViews>
  <sheetFormatPr defaultColWidth="9.140625" defaultRowHeight="12" x14ac:dyDescent="0.2"/>
  <cols>
    <col min="1" max="1" width="55.140625" style="34" customWidth="1"/>
    <col min="2" max="2" width="9.42578125" style="34" customWidth="1"/>
    <col min="3" max="3" width="9.85546875" style="34" customWidth="1"/>
    <col min="4" max="4" width="3.42578125" style="34" customWidth="1"/>
    <col min="5" max="5" width="1.5703125" style="34" customWidth="1"/>
    <col min="6" max="6" width="45.42578125" style="34" customWidth="1"/>
    <col min="7" max="7" width="9" style="34" customWidth="1"/>
    <col min="8" max="8" width="9.85546875" style="34" customWidth="1"/>
    <col min="9" max="9" width="3.140625" style="34" customWidth="1"/>
    <col min="10" max="16384" width="9.140625" style="34"/>
  </cols>
  <sheetData>
    <row r="1" spans="1:12" ht="18" x14ac:dyDescent="0.25">
      <c r="A1" s="82" t="s">
        <v>309</v>
      </c>
    </row>
    <row r="3" spans="1:12" ht="30" customHeight="1" x14ac:dyDescent="0.25">
      <c r="A3" s="370" t="s">
        <v>20</v>
      </c>
      <c r="F3" s="370" t="s">
        <v>21</v>
      </c>
    </row>
    <row r="4" spans="1:12" x14ac:dyDescent="0.2">
      <c r="A4" s="117"/>
      <c r="B4" s="118" t="s">
        <v>221</v>
      </c>
      <c r="C4" s="119" t="s">
        <v>223</v>
      </c>
      <c r="F4" s="117"/>
      <c r="G4" s="118" t="s">
        <v>221</v>
      </c>
      <c r="H4" s="119" t="s">
        <v>223</v>
      </c>
    </row>
    <row r="5" spans="1:12" x14ac:dyDescent="0.2">
      <c r="A5" s="120" t="s">
        <v>72</v>
      </c>
      <c r="B5" s="121">
        <v>100000</v>
      </c>
      <c r="C5" s="41">
        <v>100000</v>
      </c>
      <c r="F5" s="120" t="s">
        <v>73</v>
      </c>
      <c r="G5" s="121">
        <v>50000</v>
      </c>
      <c r="H5" s="41">
        <v>50000</v>
      </c>
    </row>
    <row r="6" spans="1:12" x14ac:dyDescent="0.2">
      <c r="A6" s="83" t="s">
        <v>311</v>
      </c>
      <c r="B6" s="42">
        <f>-C22</f>
        <v>-7019</v>
      </c>
      <c r="C6" s="43">
        <f>-C22</f>
        <v>-7019</v>
      </c>
      <c r="F6" s="120" t="str">
        <f>A10</f>
        <v>FICA (Salary X .0765)</v>
      </c>
      <c r="G6" s="121">
        <f>G5*C18</f>
        <v>3825</v>
      </c>
      <c r="H6" s="41">
        <f>H5*C18</f>
        <v>3825</v>
      </c>
    </row>
    <row r="7" spans="1:12" x14ac:dyDescent="0.2">
      <c r="A7" s="120" t="s">
        <v>12</v>
      </c>
      <c r="B7" s="121">
        <f>SUM(B5:B6)</f>
        <v>92981</v>
      </c>
      <c r="C7" s="41">
        <f>SUM(C5:C6)</f>
        <v>92981</v>
      </c>
      <c r="F7" s="120" t="str">
        <f>A11</f>
        <v>Retirement (Salary x .2168 for SHRA or .1361 for EHRA)</v>
      </c>
      <c r="G7" s="121">
        <f>G5*C19</f>
        <v>11445</v>
      </c>
      <c r="H7" s="41">
        <f>H5*C20</f>
        <v>6610.0000000000009</v>
      </c>
    </row>
    <row r="8" spans="1:12" x14ac:dyDescent="0.2">
      <c r="A8" s="120"/>
      <c r="B8" s="121"/>
      <c r="C8" s="41"/>
      <c r="F8" s="120" t="s">
        <v>0</v>
      </c>
      <c r="G8" s="42">
        <f>C22</f>
        <v>7019</v>
      </c>
      <c r="H8" s="43">
        <f>C22</f>
        <v>7019</v>
      </c>
    </row>
    <row r="9" spans="1:12" x14ac:dyDescent="0.2">
      <c r="A9" s="120" t="s">
        <v>76</v>
      </c>
      <c r="B9" s="121">
        <f>B7/(1+C18+C19)</f>
        <v>71227.976099279913</v>
      </c>
      <c r="C9" s="41">
        <f>C7/(1+C18+C20)</f>
        <v>76926.449904856447</v>
      </c>
      <c r="F9" s="120"/>
      <c r="G9" s="121"/>
      <c r="H9" s="41"/>
    </row>
    <row r="10" spans="1:12" x14ac:dyDescent="0.2">
      <c r="A10" s="120" t="s">
        <v>77</v>
      </c>
      <c r="B10" s="121">
        <f>B9*C18</f>
        <v>5448.9401715949134</v>
      </c>
      <c r="C10" s="41">
        <f>C9*C18</f>
        <v>5884.8734177215183</v>
      </c>
      <c r="F10" s="366" t="s">
        <v>90</v>
      </c>
      <c r="G10" s="367">
        <f>SUM(G5:G8)</f>
        <v>72289</v>
      </c>
      <c r="H10" s="368">
        <f>SUM(H5:H8)</f>
        <v>67454</v>
      </c>
    </row>
    <row r="11" spans="1:12" x14ac:dyDescent="0.2">
      <c r="A11" s="120" t="s">
        <v>322</v>
      </c>
      <c r="B11" s="121">
        <f>B9*C19</f>
        <v>16304.083729125172</v>
      </c>
      <c r="C11" s="41">
        <f>C9*C20</f>
        <v>10169.676677422023</v>
      </c>
      <c r="F11" s="120"/>
      <c r="G11" s="44"/>
      <c r="H11" s="126"/>
    </row>
    <row r="12" spans="1:12" x14ac:dyDescent="0.2">
      <c r="A12" s="120" t="s">
        <v>0</v>
      </c>
      <c r="B12" s="42">
        <f>C22</f>
        <v>7019</v>
      </c>
      <c r="C12" s="43">
        <f>C22</f>
        <v>7019</v>
      </c>
      <c r="F12" s="120"/>
      <c r="G12" s="44"/>
      <c r="H12" s="126"/>
    </row>
    <row r="13" spans="1:12" x14ac:dyDescent="0.2">
      <c r="A13" s="122" t="s">
        <v>13</v>
      </c>
      <c r="B13" s="47">
        <f>SUM(B9:B12)</f>
        <v>99999.999999999985</v>
      </c>
      <c r="C13" s="48">
        <f>SUM(C9:C12)</f>
        <v>100000</v>
      </c>
      <c r="F13" s="122"/>
      <c r="G13" s="123"/>
      <c r="H13" s="124"/>
    </row>
    <row r="14" spans="1:12" x14ac:dyDescent="0.2">
      <c r="L14" s="287"/>
    </row>
    <row r="15" spans="1:12" ht="12.75" x14ac:dyDescent="0.2">
      <c r="A15" s="243" t="s">
        <v>313</v>
      </c>
      <c r="B15" s="188"/>
      <c r="C15" s="189"/>
      <c r="F15" s="116" t="s">
        <v>93</v>
      </c>
      <c r="G15" s="115"/>
      <c r="H15" s="115"/>
    </row>
    <row r="16" spans="1:12" x14ac:dyDescent="0.2">
      <c r="A16" s="190"/>
      <c r="B16" s="191"/>
      <c r="C16" s="192"/>
      <c r="F16" s="117"/>
      <c r="G16" s="118" t="s">
        <v>221</v>
      </c>
      <c r="H16" s="119" t="s">
        <v>223</v>
      </c>
      <c r="L16" s="287"/>
    </row>
    <row r="17" spans="1:8" x14ac:dyDescent="0.2">
      <c r="A17" s="193" t="s">
        <v>1</v>
      </c>
      <c r="B17" s="194" t="s">
        <v>2</v>
      </c>
      <c r="C17" s="195" t="s">
        <v>3</v>
      </c>
      <c r="F17" s="120" t="s">
        <v>73</v>
      </c>
      <c r="G17" s="121">
        <v>50000</v>
      </c>
      <c r="H17" s="127">
        <v>50000</v>
      </c>
    </row>
    <row r="18" spans="1:8" x14ac:dyDescent="0.2">
      <c r="A18" s="196" t="s">
        <v>4</v>
      </c>
      <c r="B18" s="197">
        <v>919150</v>
      </c>
      <c r="C18" s="198">
        <v>7.6499999999999999E-2</v>
      </c>
      <c r="F18" s="120" t="str">
        <f>A10</f>
        <v>FICA (Salary X .0765)</v>
      </c>
      <c r="G18" s="121">
        <f>G17*C18</f>
        <v>3825</v>
      </c>
      <c r="H18" s="127">
        <f>H17*C18</f>
        <v>3825</v>
      </c>
    </row>
    <row r="19" spans="1:8" x14ac:dyDescent="0.2">
      <c r="A19" s="196" t="s">
        <v>57</v>
      </c>
      <c r="B19" s="197">
        <v>919050</v>
      </c>
      <c r="C19" s="198">
        <f>'FY 21-22 Fringes'!G3</f>
        <v>0.22889999999999999</v>
      </c>
      <c r="F19" s="120" t="s">
        <v>323</v>
      </c>
      <c r="G19" s="121">
        <f>G17*C21</f>
        <v>13944.999999999998</v>
      </c>
      <c r="H19" s="127">
        <f>H17*C21</f>
        <v>13944.999999999998</v>
      </c>
    </row>
    <row r="20" spans="1:8" x14ac:dyDescent="0.2">
      <c r="A20" s="196" t="s">
        <v>7</v>
      </c>
      <c r="B20" s="197">
        <v>918000</v>
      </c>
      <c r="C20" s="198">
        <f>'FY 21-22 Fringes'!H9</f>
        <v>0.13220000000000001</v>
      </c>
      <c r="F20" s="120" t="s">
        <v>0</v>
      </c>
      <c r="G20" s="125">
        <f>C22</f>
        <v>7019</v>
      </c>
      <c r="H20" s="109">
        <f>C22</f>
        <v>7019</v>
      </c>
    </row>
    <row r="21" spans="1:8" x14ac:dyDescent="0.2">
      <c r="A21" s="196" t="s">
        <v>86</v>
      </c>
      <c r="B21" s="197">
        <v>919100</v>
      </c>
      <c r="C21" s="198">
        <f>C19+0.05</f>
        <v>0.27889999999999998</v>
      </c>
      <c r="F21" s="120" t="s">
        <v>95</v>
      </c>
      <c r="G21" s="121">
        <f>SUM(G17:G20)</f>
        <v>74789</v>
      </c>
      <c r="H21" s="127">
        <f>SUM(H17:H20)</f>
        <v>74789</v>
      </c>
    </row>
    <row r="22" spans="1:8" x14ac:dyDescent="0.2">
      <c r="A22" s="93" t="s">
        <v>247</v>
      </c>
      <c r="B22" s="197">
        <v>917000</v>
      </c>
      <c r="C22" s="94">
        <f>'FY 21-22 Fringes'!I9</f>
        <v>7019</v>
      </c>
      <c r="D22" s="34" t="s">
        <v>22</v>
      </c>
      <c r="F22" s="120"/>
      <c r="G22" s="121"/>
      <c r="H22" s="126"/>
    </row>
    <row r="23" spans="1:8" x14ac:dyDescent="0.2">
      <c r="A23" s="196"/>
      <c r="B23" s="191"/>
      <c r="C23" s="192"/>
      <c r="F23" s="174"/>
      <c r="G23" s="175"/>
      <c r="H23" s="176"/>
    </row>
    <row r="24" spans="1:8" x14ac:dyDescent="0.2">
      <c r="A24" s="196" t="s">
        <v>222</v>
      </c>
      <c r="B24" s="200">
        <f>SUM(C18+C19)</f>
        <v>0.3054</v>
      </c>
      <c r="C24" s="192"/>
      <c r="F24" s="120" t="s">
        <v>72</v>
      </c>
      <c r="G24" s="121">
        <v>50000</v>
      </c>
      <c r="H24" s="41">
        <v>50000</v>
      </c>
    </row>
    <row r="25" spans="1:8" x14ac:dyDescent="0.2">
      <c r="A25" s="196" t="s">
        <v>224</v>
      </c>
      <c r="B25" s="200">
        <f>C18+C20</f>
        <v>0.2087</v>
      </c>
      <c r="C25" s="192"/>
      <c r="F25" s="83" t="s">
        <v>307</v>
      </c>
      <c r="G25" s="42">
        <f>-C22</f>
        <v>-7019</v>
      </c>
      <c r="H25" s="43">
        <f>-C22</f>
        <v>-7019</v>
      </c>
    </row>
    <row r="26" spans="1:8" x14ac:dyDescent="0.2">
      <c r="A26" s="201" t="s">
        <v>185</v>
      </c>
      <c r="B26" s="202">
        <f>SUM(C18+C21)</f>
        <v>0.35539999999999999</v>
      </c>
      <c r="C26" s="203"/>
      <c r="F26" s="120" t="s">
        <v>12</v>
      </c>
      <c r="G26" s="121">
        <f>SUM(G24:G25)</f>
        <v>42981</v>
      </c>
      <c r="H26" s="41">
        <f>SUM(H24:H25)</f>
        <v>42981</v>
      </c>
    </row>
    <row r="27" spans="1:8" x14ac:dyDescent="0.2">
      <c r="F27" s="120"/>
      <c r="G27" s="121"/>
      <c r="H27" s="126"/>
    </row>
    <row r="28" spans="1:8" x14ac:dyDescent="0.2">
      <c r="A28" s="34" t="s">
        <v>326</v>
      </c>
      <c r="F28" s="120" t="s">
        <v>76</v>
      </c>
      <c r="G28" s="121">
        <f>G26/(1+C18+C21)</f>
        <v>31710.934041611334</v>
      </c>
      <c r="H28" s="41">
        <f>H26/(1+C18+C21)</f>
        <v>31710.934041611334</v>
      </c>
    </row>
    <row r="29" spans="1:8" x14ac:dyDescent="0.2">
      <c r="F29" s="120" t="str">
        <f>A10</f>
        <v>FICA (Salary X .0765)</v>
      </c>
      <c r="G29" s="121">
        <f>G28*C18</f>
        <v>2425.8864541832668</v>
      </c>
      <c r="H29" s="41">
        <f>H28*C18</f>
        <v>2425.8864541832668</v>
      </c>
    </row>
    <row r="30" spans="1:8" x14ac:dyDescent="0.2">
      <c r="A30" s="34" t="s">
        <v>219</v>
      </c>
      <c r="F30" s="120" t="str">
        <f>F19</f>
        <v>LEO Retirement (Salary x .2668 for both EHRA &amp; SHRA)</v>
      </c>
      <c r="G30" s="121">
        <f>G28*C21</f>
        <v>8844.1795042054</v>
      </c>
      <c r="H30" s="41">
        <f>H28*C21</f>
        <v>8844.1795042054</v>
      </c>
    </row>
    <row r="31" spans="1:8" x14ac:dyDescent="0.2">
      <c r="F31" s="120" t="s">
        <v>0</v>
      </c>
      <c r="G31" s="42">
        <f>C22</f>
        <v>7019</v>
      </c>
      <c r="H31" s="242">
        <f>C22</f>
        <v>7019</v>
      </c>
    </row>
    <row r="32" spans="1:8" ht="25.5" x14ac:dyDescent="0.2">
      <c r="A32" s="288" t="s">
        <v>220</v>
      </c>
      <c r="F32" s="122" t="s">
        <v>13</v>
      </c>
      <c r="G32" s="47">
        <f>SUM(G28:G31)</f>
        <v>50000</v>
      </c>
      <c r="H32" s="48">
        <f>SUM(H28:H31)</f>
        <v>50000</v>
      </c>
    </row>
    <row r="33" spans="1:8" x14ac:dyDescent="0.2">
      <c r="H33" s="178"/>
    </row>
    <row r="34" spans="1:8" ht="12.75" x14ac:dyDescent="0.2">
      <c r="A34" s="362"/>
    </row>
  </sheetData>
  <hyperlinks>
    <hyperlink ref="A32" r:id="rId1" xr:uid="{A1C37073-4C39-4C67-A306-F13A4B5C030E}"/>
  </hyperlinks>
  <pageMargins left="0.75" right="0.75" top="1" bottom="1" header="0.5" footer="0.5"/>
  <pageSetup scale="85" orientation="landscape" cellComments="asDisplayed" r:id="rId2"/>
  <headerFooter alignWithMargins="0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theme="9" tint="0.39997558519241921"/>
  </sheetPr>
  <dimension ref="A1:G33"/>
  <sheetViews>
    <sheetView workbookViewId="0">
      <selection activeCell="A29" sqref="A29"/>
    </sheetView>
  </sheetViews>
  <sheetFormatPr defaultColWidth="9.140625" defaultRowHeight="12" x14ac:dyDescent="0.2"/>
  <cols>
    <col min="1" max="1" width="55.5703125" style="34" customWidth="1"/>
    <col min="2" max="2" width="9.5703125" style="34" bestFit="1" customWidth="1"/>
    <col min="3" max="3" width="9" style="34" bestFit="1" customWidth="1"/>
    <col min="4" max="4" width="3.42578125" style="34" customWidth="1"/>
    <col min="5" max="5" width="53.42578125" style="34" customWidth="1"/>
    <col min="6" max="6" width="9.85546875" style="34" customWidth="1"/>
    <col min="7" max="7" width="9.5703125" style="34" customWidth="1"/>
    <col min="8" max="16384" width="9.140625" style="34"/>
  </cols>
  <sheetData>
    <row r="1" spans="1:7" ht="18" x14ac:dyDescent="0.25">
      <c r="A1" s="82" t="s">
        <v>325</v>
      </c>
    </row>
    <row r="3" spans="1:7" x14ac:dyDescent="0.2">
      <c r="A3" s="35"/>
    </row>
    <row r="4" spans="1:7" ht="15.75" x14ac:dyDescent="0.25">
      <c r="A4" s="369" t="s">
        <v>20</v>
      </c>
      <c r="B4" s="140"/>
      <c r="C4" s="140"/>
      <c r="E4" s="370" t="s">
        <v>21</v>
      </c>
    </row>
    <row r="5" spans="1:7" x14ac:dyDescent="0.2">
      <c r="A5" s="142"/>
      <c r="B5" s="143" t="s">
        <v>221</v>
      </c>
      <c r="C5" s="144" t="s">
        <v>223</v>
      </c>
      <c r="E5" s="117"/>
      <c r="F5" s="118" t="s">
        <v>221</v>
      </c>
      <c r="G5" s="119" t="s">
        <v>223</v>
      </c>
    </row>
    <row r="6" spans="1:7" x14ac:dyDescent="0.2">
      <c r="A6" s="145" t="s">
        <v>327</v>
      </c>
      <c r="B6" s="146">
        <v>100000</v>
      </c>
      <c r="C6" s="147">
        <v>100000</v>
      </c>
      <c r="E6" s="120" t="s">
        <v>328</v>
      </c>
      <c r="F6" s="121">
        <v>100000</v>
      </c>
      <c r="G6" s="41">
        <v>100000</v>
      </c>
    </row>
    <row r="7" spans="1:7" x14ac:dyDescent="0.2">
      <c r="A7" s="153" t="str">
        <f>' FY 20-21 GF Calculator '!A6</f>
        <v>Take out the Medical (Flat amount for FY 20-21)</v>
      </c>
      <c r="B7" s="148">
        <f>-C24</f>
        <v>-7019</v>
      </c>
      <c r="C7" s="149">
        <f>-C24</f>
        <v>-7019</v>
      </c>
      <c r="E7" s="145" t="s">
        <v>102</v>
      </c>
      <c r="F7" s="121">
        <f>F6*C20</f>
        <v>7650</v>
      </c>
      <c r="G7" s="41">
        <f>G6*C20</f>
        <v>7650</v>
      </c>
    </row>
    <row r="8" spans="1:7" x14ac:dyDescent="0.2">
      <c r="A8" s="145" t="s">
        <v>12</v>
      </c>
      <c r="B8" s="146">
        <f>SUM(B6:B7)</f>
        <v>92981</v>
      </c>
      <c r="C8" s="147">
        <f>SUM(C6:C7)</f>
        <v>92981</v>
      </c>
      <c r="E8" s="120" t="str">
        <f>A12</f>
        <v>Retirement (Salary x .2168 for SHRA or .1361 for EHRA)</v>
      </c>
      <c r="F8" s="121">
        <f>F6*C21</f>
        <v>22890</v>
      </c>
      <c r="G8" s="41">
        <f>G6*C22</f>
        <v>13220.000000000002</v>
      </c>
    </row>
    <row r="9" spans="1:7" x14ac:dyDescent="0.2">
      <c r="A9" s="145"/>
      <c r="B9" s="146"/>
      <c r="C9" s="147"/>
      <c r="E9" s="145" t="s">
        <v>321</v>
      </c>
      <c r="F9" s="121">
        <f>F6*C25</f>
        <v>5030</v>
      </c>
      <c r="G9" s="41">
        <f>G6*C25</f>
        <v>5030</v>
      </c>
    </row>
    <row r="10" spans="1:7" x14ac:dyDescent="0.2">
      <c r="A10" s="145" t="s">
        <v>101</v>
      </c>
      <c r="B10" s="146">
        <f>B8/(1+C20+C21+C25)</f>
        <v>68585.232721103486</v>
      </c>
      <c r="C10" s="147">
        <f>C8/(1+C20+C22+C25)</f>
        <v>73853.057982525803</v>
      </c>
      <c r="E10" s="120" t="s">
        <v>0</v>
      </c>
      <c r="F10" s="42">
        <f>C24</f>
        <v>7019</v>
      </c>
      <c r="G10" s="43">
        <f>C24</f>
        <v>7019</v>
      </c>
    </row>
    <row r="11" spans="1:7" x14ac:dyDescent="0.2">
      <c r="A11" s="145" t="s">
        <v>102</v>
      </c>
      <c r="B11" s="146">
        <f>B10*C20</f>
        <v>5246.7703031644169</v>
      </c>
      <c r="C11" s="147">
        <f>C10*C20</f>
        <v>5649.7589356632234</v>
      </c>
      <c r="E11" s="120"/>
      <c r="F11" s="121"/>
      <c r="G11" s="41"/>
    </row>
    <row r="12" spans="1:7" x14ac:dyDescent="0.2">
      <c r="A12" s="120" t="str">
        <f>' FY 20-21 GF Calculator '!A11</f>
        <v>Retirement (Salary x .2168 for SHRA or .1361 for EHRA)</v>
      </c>
      <c r="B12" s="121">
        <f>B10*C21</f>
        <v>15699.159769860587</v>
      </c>
      <c r="C12" s="41">
        <f>C10*C22</f>
        <v>9763.3742652899127</v>
      </c>
      <c r="E12" s="366" t="s">
        <v>90</v>
      </c>
      <c r="F12" s="367">
        <f>SUM(F6:F10)</f>
        <v>142589</v>
      </c>
      <c r="G12" s="368">
        <f>SUM(G6:G10)</f>
        <v>132919</v>
      </c>
    </row>
    <row r="13" spans="1:7" x14ac:dyDescent="0.2">
      <c r="A13" s="145" t="s">
        <v>321</v>
      </c>
      <c r="B13" s="186">
        <f>B10*C25</f>
        <v>3449.8372058715054</v>
      </c>
      <c r="C13" s="147">
        <f>C10*C25</f>
        <v>3714.8088165210479</v>
      </c>
      <c r="E13" s="120"/>
      <c r="F13" s="44"/>
      <c r="G13" s="126"/>
    </row>
    <row r="14" spans="1:7" x14ac:dyDescent="0.2">
      <c r="A14" s="145" t="s">
        <v>0</v>
      </c>
      <c r="B14" s="148">
        <f>C24</f>
        <v>7019</v>
      </c>
      <c r="C14" s="149">
        <f>C24</f>
        <v>7019</v>
      </c>
      <c r="E14" s="363"/>
      <c r="F14" s="364"/>
      <c r="G14" s="365"/>
    </row>
    <row r="15" spans="1:7" x14ac:dyDescent="0.2">
      <c r="A15" s="150" t="s">
        <v>13</v>
      </c>
      <c r="B15" s="151">
        <f>SUM(B10:B14)</f>
        <v>100000</v>
      </c>
      <c r="C15" s="152">
        <f>SUM(C10:C14)</f>
        <v>99999.999999999985</v>
      </c>
    </row>
    <row r="16" spans="1:7" x14ac:dyDescent="0.2">
      <c r="B16" s="51"/>
    </row>
    <row r="17" spans="1:4" ht="12.75" x14ac:dyDescent="0.2">
      <c r="A17" s="244" t="str">
        <f>' FY 20-21 GF Calculator '!A15</f>
        <v>FY 20-21 BENEFITS RATES (PERMANENT EMPLOYEES)</v>
      </c>
      <c r="B17" s="160"/>
      <c r="C17" s="161"/>
    </row>
    <row r="18" spans="1:4" x14ac:dyDescent="0.2">
      <c r="A18" s="162"/>
      <c r="B18" s="163"/>
      <c r="C18" s="164"/>
    </row>
    <row r="19" spans="1:4" x14ac:dyDescent="0.2">
      <c r="A19" s="165" t="s">
        <v>1</v>
      </c>
      <c r="B19" s="166" t="s">
        <v>2</v>
      </c>
      <c r="C19" s="167" t="s">
        <v>3</v>
      </c>
    </row>
    <row r="20" spans="1:4" x14ac:dyDescent="0.2">
      <c r="A20" s="168" t="s">
        <v>4</v>
      </c>
      <c r="B20" s="169">
        <v>919150</v>
      </c>
      <c r="C20" s="182">
        <f>' FY 16-17 GF Calculator '!C18</f>
        <v>7.6499999999999999E-2</v>
      </c>
    </row>
    <row r="21" spans="1:4" x14ac:dyDescent="0.2">
      <c r="A21" s="168" t="s">
        <v>57</v>
      </c>
      <c r="B21" s="169">
        <v>919050</v>
      </c>
      <c r="C21" s="182">
        <f>' FY 20-21 GF Calculator '!C19</f>
        <v>0.22889999999999999</v>
      </c>
    </row>
    <row r="22" spans="1:4" x14ac:dyDescent="0.2">
      <c r="A22" s="168" t="s">
        <v>7</v>
      </c>
      <c r="B22" s="169">
        <v>918000</v>
      </c>
      <c r="C22" s="182">
        <f>' FY 20-21 GF Calculator '!C20</f>
        <v>0.13220000000000001</v>
      </c>
    </row>
    <row r="23" spans="1:4" x14ac:dyDescent="0.2">
      <c r="A23" s="168" t="s">
        <v>86</v>
      </c>
      <c r="B23" s="169">
        <v>919100</v>
      </c>
      <c r="C23" s="182">
        <f>' FY 20-21 GF Calculator '!C21</f>
        <v>0.27889999999999998</v>
      </c>
    </row>
    <row r="24" spans="1:4" x14ac:dyDescent="0.2">
      <c r="A24" s="168" t="s">
        <v>6</v>
      </c>
      <c r="B24" s="169">
        <v>917000</v>
      </c>
      <c r="C24" s="132">
        <f>'FY 21-22 Fringes'!I9</f>
        <v>7019</v>
      </c>
      <c r="D24" s="34" t="s">
        <v>22</v>
      </c>
    </row>
    <row r="25" spans="1:4" ht="24" x14ac:dyDescent="0.2">
      <c r="A25" s="289" t="s">
        <v>227</v>
      </c>
      <c r="B25" s="158">
        <v>919700</v>
      </c>
      <c r="C25" s="183">
        <v>5.0299999999999997E-2</v>
      </c>
    </row>
    <row r="26" spans="1:4" x14ac:dyDescent="0.2">
      <c r="A26" s="168"/>
      <c r="B26" s="169"/>
      <c r="C26" s="173"/>
    </row>
    <row r="27" spans="1:4" x14ac:dyDescent="0.2">
      <c r="A27" s="168" t="s">
        <v>225</v>
      </c>
      <c r="B27" s="184">
        <f>SUM(C20+C21+C25)</f>
        <v>0.35570000000000002</v>
      </c>
      <c r="C27" s="164"/>
    </row>
    <row r="28" spans="1:4" x14ac:dyDescent="0.2">
      <c r="A28" s="171" t="s">
        <v>228</v>
      </c>
      <c r="B28" s="185">
        <f>C20+C22+C25</f>
        <v>0.25900000000000001</v>
      </c>
      <c r="C28" s="172"/>
    </row>
    <row r="30" spans="1:4" x14ac:dyDescent="0.2">
      <c r="A30" s="34" t="str">
        <f>' FY 20-21 GF Calculator '!A28</f>
        <v>Updated:  03/04/21</v>
      </c>
    </row>
    <row r="32" spans="1:4" x14ac:dyDescent="0.2">
      <c r="A32" s="34" t="s">
        <v>219</v>
      </c>
    </row>
    <row r="33" spans="1:1" ht="25.5" x14ac:dyDescent="0.2">
      <c r="A33" s="288" t="s">
        <v>220</v>
      </c>
    </row>
  </sheetData>
  <hyperlinks>
    <hyperlink ref="A33" r:id="rId1" xr:uid="{00000000-0004-0000-0A00-000000000000}"/>
  </hyperlinks>
  <printOptions horizontalCentered="1"/>
  <pageMargins left="0.1" right="0.1" top="1" bottom="1" header="0.5" footer="0.5"/>
  <pageSetup scale="85" orientation="landscape" cellComments="asDisplayed" r:id="rId2"/>
  <headerFooter alignWithMargins="0">
    <oddFooter>&amp;L&amp;Z&amp;F</oddFooter>
  </headerFooter>
  <drawing r:id="rId3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N2:P6"/>
  <sheetViews>
    <sheetView topLeftCell="A31" workbookViewId="0">
      <selection activeCell="O45" sqref="O45"/>
    </sheetView>
  </sheetViews>
  <sheetFormatPr defaultRowHeight="12.75" x14ac:dyDescent="0.2"/>
  <cols>
    <col min="15" max="15" width="19.42578125" customWidth="1"/>
    <col min="16" max="16" width="14.85546875" customWidth="1"/>
  </cols>
  <sheetData>
    <row r="2" spans="14:16" x14ac:dyDescent="0.2">
      <c r="N2" s="359" t="s">
        <v>319</v>
      </c>
      <c r="O2" s="359" t="s">
        <v>318</v>
      </c>
      <c r="P2" s="359" t="s">
        <v>320</v>
      </c>
    </row>
    <row r="3" spans="14:16" x14ac:dyDescent="0.2">
      <c r="N3" s="359" t="s">
        <v>314</v>
      </c>
      <c r="O3" s="359">
        <v>912100</v>
      </c>
      <c r="P3" s="360">
        <v>0.21440000000000001</v>
      </c>
    </row>
    <row r="4" spans="14:16" x14ac:dyDescent="0.2">
      <c r="N4" s="359" t="s">
        <v>207</v>
      </c>
      <c r="O4" s="359" t="s">
        <v>315</v>
      </c>
      <c r="P4" s="360">
        <v>0.1376</v>
      </c>
    </row>
    <row r="5" spans="14:16" x14ac:dyDescent="0.2">
      <c r="N5" s="359" t="s">
        <v>316</v>
      </c>
      <c r="O5" s="359" t="s">
        <v>317</v>
      </c>
      <c r="P5" s="360">
        <v>0.26440000000000002</v>
      </c>
    </row>
    <row r="6" spans="14:16" x14ac:dyDescent="0.2">
      <c r="N6" s="359" t="s">
        <v>0</v>
      </c>
      <c r="O6" s="359">
        <v>917000</v>
      </c>
      <c r="P6" s="361">
        <v>6647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FA2B4-5630-4A4B-A80F-87D2D2409322}">
  <sheetPr>
    <tabColor theme="7" tint="0.39997558519241921"/>
  </sheetPr>
  <dimension ref="A1:L34"/>
  <sheetViews>
    <sheetView workbookViewId="0">
      <selection activeCell="H18" sqref="H18"/>
    </sheetView>
  </sheetViews>
  <sheetFormatPr defaultColWidth="9.140625" defaultRowHeight="12" x14ac:dyDescent="0.2"/>
  <cols>
    <col min="1" max="1" width="55.140625" style="34" customWidth="1"/>
    <col min="2" max="2" width="9.42578125" style="34" customWidth="1"/>
    <col min="3" max="3" width="9.85546875" style="34" customWidth="1"/>
    <col min="4" max="4" width="3.42578125" style="34" customWidth="1"/>
    <col min="5" max="5" width="1.5703125" style="34" customWidth="1"/>
    <col min="6" max="6" width="45.42578125" style="34" customWidth="1"/>
    <col min="7" max="7" width="9" style="34" customWidth="1"/>
    <col min="8" max="8" width="9.85546875" style="34" customWidth="1"/>
    <col min="9" max="9" width="3.140625" style="34" customWidth="1"/>
    <col min="10" max="16384" width="9.140625" style="34"/>
  </cols>
  <sheetData>
    <row r="1" spans="1:12" ht="18" x14ac:dyDescent="0.25">
      <c r="A1" s="82" t="s">
        <v>329</v>
      </c>
    </row>
    <row r="3" spans="1:12" ht="30" customHeight="1" x14ac:dyDescent="0.25">
      <c r="A3" s="370" t="s">
        <v>20</v>
      </c>
      <c r="F3" s="370" t="s">
        <v>21</v>
      </c>
    </row>
    <row r="4" spans="1:12" x14ac:dyDescent="0.2">
      <c r="A4" s="117"/>
      <c r="B4" s="118" t="s">
        <v>221</v>
      </c>
      <c r="C4" s="119" t="s">
        <v>223</v>
      </c>
      <c r="F4" s="117"/>
      <c r="G4" s="118" t="s">
        <v>221</v>
      </c>
      <c r="H4" s="119" t="s">
        <v>223</v>
      </c>
    </row>
    <row r="5" spans="1:12" x14ac:dyDescent="0.2">
      <c r="A5" s="120" t="s">
        <v>72</v>
      </c>
      <c r="B5" s="121">
        <v>100000</v>
      </c>
      <c r="C5" s="41">
        <v>100000</v>
      </c>
      <c r="F5" s="120" t="s">
        <v>73</v>
      </c>
      <c r="G5" s="121">
        <v>50000</v>
      </c>
      <c r="H5" s="41">
        <v>50000</v>
      </c>
    </row>
    <row r="6" spans="1:12" x14ac:dyDescent="0.2">
      <c r="A6" s="83" t="s">
        <v>332</v>
      </c>
      <c r="B6" s="42">
        <f>-C22</f>
        <v>-7019</v>
      </c>
      <c r="C6" s="43">
        <f>-C22</f>
        <v>-7019</v>
      </c>
      <c r="F6" s="120" t="str">
        <f>A10</f>
        <v>FICA (Salary X .0765)</v>
      </c>
      <c r="G6" s="121">
        <f>G5*C18</f>
        <v>3825</v>
      </c>
      <c r="H6" s="41">
        <f>H5*C18</f>
        <v>3825</v>
      </c>
    </row>
    <row r="7" spans="1:12" x14ac:dyDescent="0.2">
      <c r="A7" s="120" t="s">
        <v>12</v>
      </c>
      <c r="B7" s="121">
        <f>SUM(B5:B6)</f>
        <v>92981</v>
      </c>
      <c r="C7" s="41">
        <f>SUM(C5:C6)</f>
        <v>92981</v>
      </c>
      <c r="F7" s="120" t="str">
        <f>A11</f>
        <v>Retirement (Salary x .2289 for SHRA or .1322 for EHRA)</v>
      </c>
      <c r="G7" s="121">
        <f>G5*C19</f>
        <v>11445</v>
      </c>
      <c r="H7" s="41">
        <f>H5*C20</f>
        <v>6610.0000000000009</v>
      </c>
    </row>
    <row r="8" spans="1:12" x14ac:dyDescent="0.2">
      <c r="A8" s="120"/>
      <c r="B8" s="121"/>
      <c r="C8" s="41"/>
      <c r="F8" s="120" t="s">
        <v>0</v>
      </c>
      <c r="G8" s="42">
        <f>C22</f>
        <v>7019</v>
      </c>
      <c r="H8" s="43">
        <f>C22</f>
        <v>7019</v>
      </c>
    </row>
    <row r="9" spans="1:12" x14ac:dyDescent="0.2">
      <c r="A9" s="120" t="s">
        <v>76</v>
      </c>
      <c r="B9" s="121">
        <f>B7/(1+C18+C19)</f>
        <v>71227.976099279913</v>
      </c>
      <c r="C9" s="41">
        <f>C7/(1+C18+C20)</f>
        <v>76926.449904856447</v>
      </c>
      <c r="F9" s="120"/>
      <c r="G9" s="121"/>
      <c r="H9" s="41"/>
    </row>
    <row r="10" spans="1:12" x14ac:dyDescent="0.2">
      <c r="A10" s="120" t="s">
        <v>77</v>
      </c>
      <c r="B10" s="121">
        <f>B9*C18</f>
        <v>5448.9401715949134</v>
      </c>
      <c r="C10" s="41">
        <f>C9*C18</f>
        <v>5884.8734177215183</v>
      </c>
      <c r="F10" s="366" t="s">
        <v>90</v>
      </c>
      <c r="G10" s="367">
        <f>SUM(G5:G8)</f>
        <v>72289</v>
      </c>
      <c r="H10" s="368">
        <f>SUM(H5:H8)</f>
        <v>67454</v>
      </c>
    </row>
    <row r="11" spans="1:12" x14ac:dyDescent="0.2">
      <c r="A11" s="120" t="s">
        <v>341</v>
      </c>
      <c r="B11" s="121">
        <f>B9*C19</f>
        <v>16304.083729125172</v>
      </c>
      <c r="C11" s="41">
        <f>C9*C20</f>
        <v>10169.676677422023</v>
      </c>
      <c r="F11" s="120"/>
      <c r="G11" s="44"/>
      <c r="H11" s="126"/>
    </row>
    <row r="12" spans="1:12" x14ac:dyDescent="0.2">
      <c r="A12" s="120" t="s">
        <v>0</v>
      </c>
      <c r="B12" s="42">
        <f>C22</f>
        <v>7019</v>
      </c>
      <c r="C12" s="43">
        <f>C22</f>
        <v>7019</v>
      </c>
      <c r="F12" s="120"/>
      <c r="G12" s="44"/>
      <c r="H12" s="126"/>
    </row>
    <row r="13" spans="1:12" x14ac:dyDescent="0.2">
      <c r="A13" s="122" t="s">
        <v>13</v>
      </c>
      <c r="B13" s="47">
        <f>SUM(B9:B12)</f>
        <v>99999.999999999985</v>
      </c>
      <c r="C13" s="48">
        <f>SUM(C9:C12)</f>
        <v>100000</v>
      </c>
      <c r="F13" s="122"/>
      <c r="G13" s="123"/>
      <c r="H13" s="124"/>
    </row>
    <row r="14" spans="1:12" x14ac:dyDescent="0.2">
      <c r="L14" s="287"/>
    </row>
    <row r="15" spans="1:12" ht="12.75" x14ac:dyDescent="0.2">
      <c r="A15" s="243" t="s">
        <v>333</v>
      </c>
      <c r="B15" s="188"/>
      <c r="C15" s="189"/>
      <c r="F15" s="116" t="s">
        <v>93</v>
      </c>
      <c r="G15" s="115"/>
      <c r="H15" s="115"/>
    </row>
    <row r="16" spans="1:12" x14ac:dyDescent="0.2">
      <c r="A16" s="190"/>
      <c r="B16" s="191"/>
      <c r="C16" s="192"/>
      <c r="F16" s="117"/>
      <c r="G16" s="118" t="s">
        <v>221</v>
      </c>
      <c r="H16" s="119" t="s">
        <v>223</v>
      </c>
      <c r="L16" s="287"/>
    </row>
    <row r="17" spans="1:8" x14ac:dyDescent="0.2">
      <c r="A17" s="193" t="s">
        <v>1</v>
      </c>
      <c r="B17" s="194" t="s">
        <v>2</v>
      </c>
      <c r="C17" s="195" t="s">
        <v>3</v>
      </c>
      <c r="F17" s="120" t="s">
        <v>73</v>
      </c>
      <c r="G17" s="121">
        <v>50000</v>
      </c>
      <c r="H17" s="127">
        <v>50000</v>
      </c>
    </row>
    <row r="18" spans="1:8" x14ac:dyDescent="0.2">
      <c r="A18" s="196" t="s">
        <v>4</v>
      </c>
      <c r="B18" s="197">
        <v>919150</v>
      </c>
      <c r="C18" s="198">
        <v>7.6499999999999999E-2</v>
      </c>
      <c r="F18" s="120" t="str">
        <f>A10</f>
        <v>FICA (Salary X .0765)</v>
      </c>
      <c r="G18" s="121">
        <f>G17*C18</f>
        <v>3825</v>
      </c>
      <c r="H18" s="127">
        <f>H17*C18</f>
        <v>3825</v>
      </c>
    </row>
    <row r="19" spans="1:8" x14ac:dyDescent="0.2">
      <c r="A19" s="196" t="s">
        <v>57</v>
      </c>
      <c r="B19" s="197">
        <v>919050</v>
      </c>
      <c r="C19" s="198">
        <v>0.22889999999999999</v>
      </c>
      <c r="F19" s="120" t="s">
        <v>337</v>
      </c>
      <c r="G19" s="121">
        <f>G17*C21</f>
        <v>13944.999999999998</v>
      </c>
      <c r="H19" s="127">
        <f>H17*C21</f>
        <v>13944.999999999998</v>
      </c>
    </row>
    <row r="20" spans="1:8" x14ac:dyDescent="0.2">
      <c r="A20" s="196" t="s">
        <v>7</v>
      </c>
      <c r="B20" s="197">
        <v>918000</v>
      </c>
      <c r="C20" s="198">
        <v>0.13220000000000001</v>
      </c>
      <c r="F20" s="120" t="s">
        <v>0</v>
      </c>
      <c r="G20" s="125">
        <f>C22</f>
        <v>7019</v>
      </c>
      <c r="H20" s="109">
        <f>C22</f>
        <v>7019</v>
      </c>
    </row>
    <row r="21" spans="1:8" x14ac:dyDescent="0.2">
      <c r="A21" s="196" t="s">
        <v>86</v>
      </c>
      <c r="B21" s="197">
        <v>919100</v>
      </c>
      <c r="C21" s="198">
        <v>0.27889999999999998</v>
      </c>
      <c r="F21" s="120" t="s">
        <v>95</v>
      </c>
      <c r="G21" s="121">
        <f>SUM(G17:G20)</f>
        <v>74789</v>
      </c>
      <c r="H21" s="127">
        <f>SUM(H17:H20)</f>
        <v>74789</v>
      </c>
    </row>
    <row r="22" spans="1:8" x14ac:dyDescent="0.2">
      <c r="A22" s="93" t="s">
        <v>247</v>
      </c>
      <c r="B22" s="197">
        <v>917000</v>
      </c>
      <c r="C22" s="94">
        <v>7019</v>
      </c>
      <c r="D22" s="34" t="s">
        <v>22</v>
      </c>
      <c r="F22" s="120"/>
      <c r="G22" s="121"/>
      <c r="H22" s="126"/>
    </row>
    <row r="23" spans="1:8" x14ac:dyDescent="0.2">
      <c r="A23" s="196"/>
      <c r="B23" s="191"/>
      <c r="C23" s="192"/>
      <c r="F23" s="174"/>
      <c r="G23" s="175"/>
      <c r="H23" s="176"/>
    </row>
    <row r="24" spans="1:8" x14ac:dyDescent="0.2">
      <c r="A24" s="196" t="s">
        <v>222</v>
      </c>
      <c r="B24" s="200">
        <f>SUM(C18+C19)</f>
        <v>0.3054</v>
      </c>
      <c r="C24" s="192"/>
      <c r="F24" s="120" t="s">
        <v>72</v>
      </c>
      <c r="G24" s="121">
        <v>50000</v>
      </c>
      <c r="H24" s="41">
        <v>50000</v>
      </c>
    </row>
    <row r="25" spans="1:8" x14ac:dyDescent="0.2">
      <c r="A25" s="196" t="s">
        <v>224</v>
      </c>
      <c r="B25" s="200">
        <f>C18+C20</f>
        <v>0.2087</v>
      </c>
      <c r="C25" s="192"/>
      <c r="F25" s="83" t="s">
        <v>339</v>
      </c>
      <c r="G25" s="42">
        <f>-C22</f>
        <v>-7019</v>
      </c>
      <c r="H25" s="43">
        <f>-C22</f>
        <v>-7019</v>
      </c>
    </row>
    <row r="26" spans="1:8" x14ac:dyDescent="0.2">
      <c r="A26" s="201" t="s">
        <v>185</v>
      </c>
      <c r="B26" s="202">
        <f>SUM(C18+C21)</f>
        <v>0.35539999999999999</v>
      </c>
      <c r="C26" s="203"/>
      <c r="F26" s="120" t="s">
        <v>12</v>
      </c>
      <c r="G26" s="121">
        <f>SUM(G24:G25)</f>
        <v>42981</v>
      </c>
      <c r="H26" s="41">
        <f>SUM(H24:H25)</f>
        <v>42981</v>
      </c>
    </row>
    <row r="27" spans="1:8" x14ac:dyDescent="0.2">
      <c r="F27" s="120"/>
      <c r="G27" s="121"/>
      <c r="H27" s="126"/>
    </row>
    <row r="28" spans="1:8" x14ac:dyDescent="0.2">
      <c r="A28" s="34" t="s">
        <v>338</v>
      </c>
      <c r="F28" s="120" t="s">
        <v>76</v>
      </c>
      <c r="G28" s="121">
        <f>G26/(1+C18+C21)</f>
        <v>31710.934041611334</v>
      </c>
      <c r="H28" s="41">
        <f>H26/(1+C18+C21)</f>
        <v>31710.934041611334</v>
      </c>
    </row>
    <row r="29" spans="1:8" x14ac:dyDescent="0.2">
      <c r="F29" s="120" t="str">
        <f>A10</f>
        <v>FICA (Salary X .0765)</v>
      </c>
      <c r="G29" s="121">
        <f>G28*C18</f>
        <v>2425.8864541832668</v>
      </c>
      <c r="H29" s="41">
        <f>H28*C18</f>
        <v>2425.8864541832668</v>
      </c>
    </row>
    <row r="30" spans="1:8" x14ac:dyDescent="0.2">
      <c r="A30" s="34" t="s">
        <v>219</v>
      </c>
      <c r="F30" s="120" t="str">
        <f>F19</f>
        <v>LEO Retirement (Salary x .2789 for both EHRA &amp; SHRA)</v>
      </c>
      <c r="G30" s="121">
        <f>G28*C21</f>
        <v>8844.1795042054</v>
      </c>
      <c r="H30" s="41">
        <f>H28*C21</f>
        <v>8844.1795042054</v>
      </c>
    </row>
    <row r="31" spans="1:8" x14ac:dyDescent="0.2">
      <c r="F31" s="120" t="s">
        <v>0</v>
      </c>
      <c r="G31" s="42">
        <f>C22</f>
        <v>7019</v>
      </c>
      <c r="H31" s="242">
        <f>C22</f>
        <v>7019</v>
      </c>
    </row>
    <row r="32" spans="1:8" ht="25.5" x14ac:dyDescent="0.2">
      <c r="A32" s="288" t="s">
        <v>220</v>
      </c>
      <c r="F32" s="122" t="s">
        <v>13</v>
      </c>
      <c r="G32" s="47">
        <f>SUM(G28:G31)</f>
        <v>50000</v>
      </c>
      <c r="H32" s="48">
        <f>SUM(H28:H31)</f>
        <v>50000</v>
      </c>
    </row>
    <row r="33" spans="1:8" x14ac:dyDescent="0.2">
      <c r="H33" s="178"/>
    </row>
    <row r="34" spans="1:8" ht="12.75" x14ac:dyDescent="0.2">
      <c r="A34" s="362"/>
    </row>
  </sheetData>
  <hyperlinks>
    <hyperlink ref="A32" r:id="rId1" xr:uid="{C610F818-3642-49E5-8C57-4C7D802F7AD4}"/>
  </hyperlinks>
  <pageMargins left="0.75" right="0.75" top="1" bottom="1" header="0.5" footer="0.5"/>
  <pageSetup scale="85" orientation="landscape" cellComments="asDisplayed" r:id="rId2"/>
  <headerFooter alignWithMargins="0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28440-0019-4A87-A1CC-4390ADFF33AC}">
  <sheetPr>
    <tabColor rgb="FF92D050"/>
  </sheetPr>
  <dimension ref="A1:G33"/>
  <sheetViews>
    <sheetView workbookViewId="0">
      <selection activeCell="H18" sqref="H18"/>
    </sheetView>
  </sheetViews>
  <sheetFormatPr defaultColWidth="9.140625" defaultRowHeight="12" x14ac:dyDescent="0.2"/>
  <cols>
    <col min="1" max="1" width="55.5703125" style="34" customWidth="1"/>
    <col min="2" max="2" width="9.5703125" style="34" bestFit="1" customWidth="1"/>
    <col min="3" max="3" width="9" style="34" bestFit="1" customWidth="1"/>
    <col min="4" max="4" width="3.42578125" style="34" customWidth="1"/>
    <col min="5" max="5" width="53.42578125" style="34" customWidth="1"/>
    <col min="6" max="6" width="9.85546875" style="34" customWidth="1"/>
    <col min="7" max="7" width="9.5703125" style="34" customWidth="1"/>
    <col min="8" max="16384" width="9.140625" style="34"/>
  </cols>
  <sheetData>
    <row r="1" spans="1:7" ht="18" x14ac:dyDescent="0.25">
      <c r="A1" s="82" t="s">
        <v>330</v>
      </c>
    </row>
    <row r="3" spans="1:7" x14ac:dyDescent="0.2">
      <c r="A3" s="35"/>
    </row>
    <row r="4" spans="1:7" ht="15.75" x14ac:dyDescent="0.25">
      <c r="A4" s="369" t="s">
        <v>20</v>
      </c>
      <c r="B4" s="140"/>
      <c r="C4" s="140"/>
      <c r="E4" s="370" t="s">
        <v>21</v>
      </c>
    </row>
    <row r="5" spans="1:7" x14ac:dyDescent="0.2">
      <c r="A5" s="142"/>
      <c r="B5" s="143" t="s">
        <v>221</v>
      </c>
      <c r="C5" s="144" t="s">
        <v>223</v>
      </c>
      <c r="E5" s="117"/>
      <c r="F5" s="118" t="s">
        <v>221</v>
      </c>
      <c r="G5" s="119" t="s">
        <v>223</v>
      </c>
    </row>
    <row r="6" spans="1:7" x14ac:dyDescent="0.2">
      <c r="A6" s="145" t="s">
        <v>336</v>
      </c>
      <c r="B6" s="146">
        <v>100000</v>
      </c>
      <c r="C6" s="147">
        <v>100000</v>
      </c>
      <c r="E6" s="120" t="s">
        <v>335</v>
      </c>
      <c r="F6" s="121">
        <v>100000</v>
      </c>
      <c r="G6" s="41">
        <v>100000</v>
      </c>
    </row>
    <row r="7" spans="1:7" x14ac:dyDescent="0.2">
      <c r="A7" s="153" t="str">
        <f>' FY 21-22 GF Calculator '!A6</f>
        <v>Take out the Medical (Flat amount for FY 21-22)</v>
      </c>
      <c r="B7" s="148">
        <f>-C24</f>
        <v>-7019</v>
      </c>
      <c r="C7" s="149">
        <f>-C24</f>
        <v>-7019</v>
      </c>
      <c r="E7" s="145" t="s">
        <v>102</v>
      </c>
      <c r="F7" s="121">
        <f>F6*C20</f>
        <v>7650</v>
      </c>
      <c r="G7" s="41">
        <f>G6*C20</f>
        <v>7650</v>
      </c>
    </row>
    <row r="8" spans="1:7" x14ac:dyDescent="0.2">
      <c r="A8" s="145" t="s">
        <v>12</v>
      </c>
      <c r="B8" s="146">
        <f>SUM(B6:B7)</f>
        <v>92981</v>
      </c>
      <c r="C8" s="147">
        <f>SUM(C6:C7)</f>
        <v>92981</v>
      </c>
      <c r="E8" s="120" t="str">
        <f>A12</f>
        <v>Retirement (Salary x .2289 for SHRA or .1322 for EHRA)</v>
      </c>
      <c r="F8" s="121">
        <f>F6*C21</f>
        <v>22890</v>
      </c>
      <c r="G8" s="41">
        <f>G6*C22</f>
        <v>13220.000000000002</v>
      </c>
    </row>
    <row r="9" spans="1:7" x14ac:dyDescent="0.2">
      <c r="A9" s="145"/>
      <c r="B9" s="146"/>
      <c r="C9" s="147"/>
      <c r="E9" s="145" t="s">
        <v>334</v>
      </c>
      <c r="F9" s="121">
        <f>F6*C25</f>
        <v>4890</v>
      </c>
      <c r="G9" s="41">
        <f>G6*C25</f>
        <v>4890</v>
      </c>
    </row>
    <row r="10" spans="1:7" x14ac:dyDescent="0.2">
      <c r="A10" s="145" t="s">
        <v>101</v>
      </c>
      <c r="B10" s="146">
        <f>B8/(1+C20+C21+C25)</f>
        <v>68656.132319279335</v>
      </c>
      <c r="C10" s="147">
        <f>C8/(1+C20+C22+C25)</f>
        <v>73935.273536895678</v>
      </c>
      <c r="E10" s="120" t="s">
        <v>0</v>
      </c>
      <c r="F10" s="42">
        <f>C24</f>
        <v>7019</v>
      </c>
      <c r="G10" s="43">
        <f>C24</f>
        <v>7019</v>
      </c>
    </row>
    <row r="11" spans="1:7" x14ac:dyDescent="0.2">
      <c r="A11" s="145" t="s">
        <v>102</v>
      </c>
      <c r="B11" s="146">
        <f>B10*C20</f>
        <v>5252.1941224248694</v>
      </c>
      <c r="C11" s="147">
        <f>C10*C20</f>
        <v>5656.0484255725196</v>
      </c>
      <c r="E11" s="120"/>
      <c r="F11" s="121"/>
      <c r="G11" s="41"/>
    </row>
    <row r="12" spans="1:7" x14ac:dyDescent="0.2">
      <c r="A12" s="120" t="str">
        <f>' FY 21-22 GF Calculator '!A11</f>
        <v>Retirement (Salary x .2289 for SHRA or .1322 for EHRA)</v>
      </c>
      <c r="B12" s="121">
        <f>B10*C21</f>
        <v>15715.38868788304</v>
      </c>
      <c r="C12" s="41">
        <f>C10*C22</f>
        <v>9774.2431615776095</v>
      </c>
      <c r="E12" s="366" t="s">
        <v>90</v>
      </c>
      <c r="F12" s="367">
        <f>SUM(F6:F10)</f>
        <v>142449</v>
      </c>
      <c r="G12" s="368">
        <f>SUM(G6:G10)</f>
        <v>132779</v>
      </c>
    </row>
    <row r="13" spans="1:7" x14ac:dyDescent="0.2">
      <c r="A13" s="145" t="s">
        <v>321</v>
      </c>
      <c r="B13" s="186">
        <f>B10*C25</f>
        <v>3357.2848704127596</v>
      </c>
      <c r="C13" s="147">
        <f>C10*C25</f>
        <v>3615.4348759541986</v>
      </c>
      <c r="E13" s="120"/>
      <c r="F13" s="44"/>
      <c r="G13" s="126"/>
    </row>
    <row r="14" spans="1:7" x14ac:dyDescent="0.2">
      <c r="A14" s="145" t="s">
        <v>0</v>
      </c>
      <c r="B14" s="148">
        <f>C24</f>
        <v>7019</v>
      </c>
      <c r="C14" s="149">
        <f>C24</f>
        <v>7019</v>
      </c>
      <c r="E14" s="363"/>
      <c r="F14" s="364"/>
      <c r="G14" s="365"/>
    </row>
    <row r="15" spans="1:7" x14ac:dyDescent="0.2">
      <c r="A15" s="150" t="s">
        <v>13</v>
      </c>
      <c r="B15" s="151">
        <f>SUM(B10:B14)</f>
        <v>100000</v>
      </c>
      <c r="C15" s="152">
        <f>SUM(C10:C14)</f>
        <v>100000.00000000001</v>
      </c>
    </row>
    <row r="16" spans="1:7" x14ac:dyDescent="0.2">
      <c r="B16" s="51"/>
    </row>
    <row r="17" spans="1:4" ht="12.75" x14ac:dyDescent="0.2">
      <c r="A17" s="244" t="str">
        <f>' FY 21-22 GF Calculator '!A15</f>
        <v>FY 21-22 BENEFITS RATES (PERMANENT EMPLOYEES)</v>
      </c>
      <c r="B17" s="160"/>
      <c r="C17" s="161"/>
    </row>
    <row r="18" spans="1:4" x14ac:dyDescent="0.2">
      <c r="A18" s="162"/>
      <c r="B18" s="163"/>
      <c r="C18" s="164"/>
    </row>
    <row r="19" spans="1:4" x14ac:dyDescent="0.2">
      <c r="A19" s="165" t="s">
        <v>1</v>
      </c>
      <c r="B19" s="166" t="s">
        <v>2</v>
      </c>
      <c r="C19" s="167" t="s">
        <v>3</v>
      </c>
    </row>
    <row r="20" spans="1:4" x14ac:dyDescent="0.2">
      <c r="A20" s="168" t="s">
        <v>4</v>
      </c>
      <c r="B20" s="169">
        <v>919150</v>
      </c>
      <c r="C20" s="182">
        <f>' FY 16-17 GF Calculator '!C18</f>
        <v>7.6499999999999999E-2</v>
      </c>
    </row>
    <row r="21" spans="1:4" x14ac:dyDescent="0.2">
      <c r="A21" s="168" t="s">
        <v>57</v>
      </c>
      <c r="B21" s="169">
        <v>919050</v>
      </c>
      <c r="C21" s="182">
        <f>' FY 21-22 GF Calculator '!C19</f>
        <v>0.22889999999999999</v>
      </c>
    </row>
    <row r="22" spans="1:4" x14ac:dyDescent="0.2">
      <c r="A22" s="168" t="s">
        <v>7</v>
      </c>
      <c r="B22" s="169">
        <v>918000</v>
      </c>
      <c r="C22" s="182">
        <f>' FY 21-22 GF Calculator '!C20</f>
        <v>0.13220000000000001</v>
      </c>
    </row>
    <row r="23" spans="1:4" x14ac:dyDescent="0.2">
      <c r="A23" s="168" t="s">
        <v>86</v>
      </c>
      <c r="B23" s="169">
        <v>919100</v>
      </c>
      <c r="C23" s="182">
        <f>' FY 21-22 GF Calculator '!C21</f>
        <v>0.27889999999999998</v>
      </c>
    </row>
    <row r="24" spans="1:4" x14ac:dyDescent="0.2">
      <c r="A24" s="168" t="s">
        <v>6</v>
      </c>
      <c r="B24" s="169">
        <v>917000</v>
      </c>
      <c r="C24" s="132">
        <v>7019</v>
      </c>
      <c r="D24" s="34" t="s">
        <v>22</v>
      </c>
    </row>
    <row r="25" spans="1:4" ht="24" x14ac:dyDescent="0.2">
      <c r="A25" s="289" t="s">
        <v>227</v>
      </c>
      <c r="B25" s="158">
        <v>919700</v>
      </c>
      <c r="C25" s="183">
        <v>4.8899999999999999E-2</v>
      </c>
    </row>
    <row r="26" spans="1:4" x14ac:dyDescent="0.2">
      <c r="A26" s="168"/>
      <c r="B26" s="169"/>
      <c r="C26" s="173"/>
    </row>
    <row r="27" spans="1:4" x14ac:dyDescent="0.2">
      <c r="A27" s="168" t="s">
        <v>225</v>
      </c>
      <c r="B27" s="184">
        <f>SUM(C20+C21+C25)</f>
        <v>0.3543</v>
      </c>
      <c r="C27" s="164"/>
    </row>
    <row r="28" spans="1:4" x14ac:dyDescent="0.2">
      <c r="A28" s="171" t="s">
        <v>228</v>
      </c>
      <c r="B28" s="185">
        <f>C20+C22+C25</f>
        <v>0.2576</v>
      </c>
      <c r="C28" s="172"/>
    </row>
    <row r="30" spans="1:4" x14ac:dyDescent="0.2">
      <c r="A30" s="34" t="str">
        <f>' FY 21-22 GF Calculator '!A28</f>
        <v>Updated:  11/30/21</v>
      </c>
    </row>
    <row r="32" spans="1:4" x14ac:dyDescent="0.2">
      <c r="A32" s="34" t="s">
        <v>219</v>
      </c>
    </row>
    <row r="33" spans="1:1" ht="25.5" x14ac:dyDescent="0.2">
      <c r="A33" s="288" t="s">
        <v>220</v>
      </c>
    </row>
  </sheetData>
  <hyperlinks>
    <hyperlink ref="A33" r:id="rId1" xr:uid="{417E21E5-1A70-4634-B8FC-2CF7B631D5DA}"/>
  </hyperlinks>
  <printOptions horizontalCentered="1"/>
  <pageMargins left="0.1" right="0.1" top="1" bottom="1" header="0.5" footer="0.5"/>
  <pageSetup scale="85" orientation="landscape" cellComments="asDisplayed" r:id="rId2"/>
  <headerFooter alignWithMargins="0">
    <oddFooter>&amp;L&amp;Z&amp;F</oddFooter>
  </headerFooter>
  <drawing r:id="rId3"/>
  <legacy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2C932-6BEE-4598-A969-D8C4EEE67F98}">
  <dimension ref="A1:N39"/>
  <sheetViews>
    <sheetView topLeftCell="C1" workbookViewId="0">
      <selection activeCell="G6" sqref="G6"/>
    </sheetView>
  </sheetViews>
  <sheetFormatPr defaultColWidth="8.85546875" defaultRowHeight="11.25" x14ac:dyDescent="0.2"/>
  <cols>
    <col min="1" max="1" width="10.140625" style="208" customWidth="1"/>
    <col min="2" max="2" width="7.85546875" style="208" customWidth="1"/>
    <col min="3" max="3" width="32" style="204" customWidth="1"/>
    <col min="4" max="4" width="8.5703125" style="204" customWidth="1"/>
    <col min="5" max="5" width="6.140625" style="204" bestFit="1" customWidth="1"/>
    <col min="6" max="8" width="8.5703125" style="208" customWidth="1"/>
    <col min="9" max="10" width="8.5703125" style="204" customWidth="1"/>
    <col min="11" max="11" width="2.5703125" style="204" customWidth="1"/>
    <col min="12" max="12" width="18.85546875" style="204" customWidth="1"/>
    <col min="13" max="14" width="8.5703125" style="204" customWidth="1"/>
    <col min="15" max="16384" width="8.85546875" style="204"/>
  </cols>
  <sheetData>
    <row r="1" spans="1:14" ht="43.7" customHeight="1" x14ac:dyDescent="0.25">
      <c r="A1" s="344" t="s">
        <v>308</v>
      </c>
      <c r="F1" s="376" t="s">
        <v>178</v>
      </c>
      <c r="G1" s="376"/>
      <c r="H1" s="376"/>
      <c r="I1" s="376"/>
      <c r="J1" s="247"/>
      <c r="K1" s="247"/>
      <c r="L1" s="346" t="s">
        <v>201</v>
      </c>
      <c r="M1" s="378" t="s">
        <v>303</v>
      </c>
      <c r="N1" s="378"/>
    </row>
    <row r="2" spans="1:14" s="207" customFormat="1" ht="68.45" customHeight="1" x14ac:dyDescent="0.2">
      <c r="A2" s="206" t="s">
        <v>136</v>
      </c>
      <c r="B2" s="341" t="s">
        <v>300</v>
      </c>
      <c r="C2" s="207" t="s">
        <v>137</v>
      </c>
      <c r="D2" s="207" t="s">
        <v>159</v>
      </c>
      <c r="E2" s="206" t="s">
        <v>138</v>
      </c>
      <c r="F2" s="231" t="s">
        <v>146</v>
      </c>
      <c r="G2" s="231" t="s">
        <v>147</v>
      </c>
      <c r="H2" s="231" t="s">
        <v>148</v>
      </c>
      <c r="I2" s="293" t="s">
        <v>342</v>
      </c>
      <c r="J2" s="339" t="s">
        <v>299</v>
      </c>
      <c r="K2" s="260"/>
      <c r="L2" s="340" t="s">
        <v>299</v>
      </c>
      <c r="M2" s="345" t="s">
        <v>301</v>
      </c>
      <c r="N2" s="345" t="s">
        <v>302</v>
      </c>
    </row>
    <row r="3" spans="1:14" x14ac:dyDescent="0.2">
      <c r="A3" s="209">
        <v>10</v>
      </c>
      <c r="B3" s="342" t="s">
        <v>301</v>
      </c>
      <c r="C3" s="210" t="s">
        <v>229</v>
      </c>
      <c r="D3" s="209" t="s">
        <v>155</v>
      </c>
      <c r="E3" s="210">
        <v>912100</v>
      </c>
      <c r="F3" s="211">
        <v>7.6499999999999999E-2</v>
      </c>
      <c r="G3" s="211">
        <v>0.245</v>
      </c>
      <c r="H3" s="251"/>
      <c r="I3" s="232">
        <v>7397</v>
      </c>
      <c r="J3" s="269" t="s">
        <v>198</v>
      </c>
      <c r="K3" s="248"/>
      <c r="L3" s="273" t="s">
        <v>198</v>
      </c>
      <c r="M3" s="347" t="s">
        <v>304</v>
      </c>
      <c r="N3" s="348" t="s">
        <v>304</v>
      </c>
    </row>
    <row r="4" spans="1:14" x14ac:dyDescent="0.2">
      <c r="A4" s="212">
        <v>10</v>
      </c>
      <c r="B4" s="342" t="s">
        <v>301</v>
      </c>
      <c r="C4" s="213" t="s">
        <v>230</v>
      </c>
      <c r="D4" s="209" t="s">
        <v>156</v>
      </c>
      <c r="E4" s="210">
        <v>912100</v>
      </c>
      <c r="F4" s="214">
        <v>7.6499999999999999E-2</v>
      </c>
      <c r="G4" s="249"/>
      <c r="H4" s="250"/>
      <c r="I4" s="257"/>
      <c r="J4" s="270" t="s">
        <v>198</v>
      </c>
      <c r="K4" s="248"/>
      <c r="L4" s="275" t="s">
        <v>198</v>
      </c>
      <c r="M4" s="349" t="s">
        <v>304</v>
      </c>
      <c r="N4" s="350" t="s">
        <v>304</v>
      </c>
    </row>
    <row r="5" spans="1:14" x14ac:dyDescent="0.2">
      <c r="A5" s="209">
        <v>10</v>
      </c>
      <c r="B5" s="342" t="s">
        <v>301</v>
      </c>
      <c r="C5" s="358" t="s">
        <v>310</v>
      </c>
      <c r="D5" s="209" t="s">
        <v>155</v>
      </c>
      <c r="E5" s="210">
        <v>912090</v>
      </c>
      <c r="F5" s="214">
        <v>7.6499999999999999E-2</v>
      </c>
      <c r="G5" s="211">
        <v>0.29499999999999998</v>
      </c>
      <c r="H5" s="250"/>
      <c r="I5" s="257"/>
      <c r="J5" s="270"/>
      <c r="K5" s="248"/>
      <c r="L5" s="275"/>
      <c r="M5" s="349"/>
      <c r="N5" s="350"/>
    </row>
    <row r="6" spans="1:14" x14ac:dyDescent="0.2">
      <c r="A6" s="212">
        <v>15</v>
      </c>
      <c r="B6" s="343" t="s">
        <v>302</v>
      </c>
      <c r="C6" s="213" t="s">
        <v>231</v>
      </c>
      <c r="D6" s="253"/>
      <c r="E6" s="213">
        <v>915900</v>
      </c>
      <c r="F6" s="215">
        <v>7.6499999999999999E-2</v>
      </c>
      <c r="G6" s="249"/>
      <c r="H6" s="250"/>
      <c r="I6" s="257"/>
      <c r="J6" s="271" t="s">
        <v>200</v>
      </c>
      <c r="K6" s="248"/>
      <c r="L6" s="275" t="s">
        <v>198</v>
      </c>
      <c r="M6" s="349" t="s">
        <v>304</v>
      </c>
      <c r="N6" s="350" t="s">
        <v>304</v>
      </c>
    </row>
    <row r="7" spans="1:14" x14ac:dyDescent="0.2">
      <c r="A7" s="212">
        <v>18</v>
      </c>
      <c r="B7" s="343" t="s">
        <v>302</v>
      </c>
      <c r="C7" s="213" t="s">
        <v>232</v>
      </c>
      <c r="D7" s="253"/>
      <c r="E7" s="213">
        <v>915900</v>
      </c>
      <c r="F7" s="215">
        <v>7.6499999999999999E-2</v>
      </c>
      <c r="G7" s="249"/>
      <c r="H7" s="250"/>
      <c r="I7" s="257"/>
      <c r="J7" s="271" t="s">
        <v>200</v>
      </c>
      <c r="K7" s="248"/>
      <c r="L7" s="275" t="s">
        <v>198</v>
      </c>
      <c r="M7" s="349" t="s">
        <v>304</v>
      </c>
      <c r="N7" s="350" t="s">
        <v>304</v>
      </c>
    </row>
    <row r="8" spans="1:14" x14ac:dyDescent="0.2">
      <c r="A8" s="212">
        <v>19</v>
      </c>
      <c r="B8" s="343" t="s">
        <v>302</v>
      </c>
      <c r="C8" s="213" t="s">
        <v>233</v>
      </c>
      <c r="D8" s="253"/>
      <c r="E8" s="213">
        <v>915900</v>
      </c>
      <c r="F8" s="215">
        <v>7.6499999999999999E-2</v>
      </c>
      <c r="G8" s="249"/>
      <c r="H8" s="250"/>
      <c r="I8" s="257"/>
      <c r="J8" s="271" t="s">
        <v>200</v>
      </c>
      <c r="K8" s="248"/>
      <c r="L8" s="275" t="s">
        <v>198</v>
      </c>
      <c r="M8" s="349" t="s">
        <v>304</v>
      </c>
      <c r="N8" s="350" t="s">
        <v>304</v>
      </c>
    </row>
    <row r="9" spans="1:14" x14ac:dyDescent="0.2">
      <c r="A9" s="212">
        <v>20</v>
      </c>
      <c r="B9" s="342" t="s">
        <v>301</v>
      </c>
      <c r="C9" s="213" t="s">
        <v>234</v>
      </c>
      <c r="D9" s="209" t="s">
        <v>155</v>
      </c>
      <c r="E9" s="213">
        <v>911100</v>
      </c>
      <c r="F9" s="215">
        <v>7.6499999999999999E-2</v>
      </c>
      <c r="G9" s="249"/>
      <c r="H9" s="215">
        <v>0.13830000000000001</v>
      </c>
      <c r="I9" s="232">
        <v>7397</v>
      </c>
      <c r="J9" s="270" t="s">
        <v>198</v>
      </c>
      <c r="K9" s="248"/>
      <c r="L9" s="275" t="s">
        <v>198</v>
      </c>
      <c r="M9" s="349" t="s">
        <v>304</v>
      </c>
      <c r="N9" s="350" t="s">
        <v>304</v>
      </c>
    </row>
    <row r="10" spans="1:14" x14ac:dyDescent="0.2">
      <c r="A10" s="212">
        <v>20</v>
      </c>
      <c r="B10" s="342" t="s">
        <v>301</v>
      </c>
      <c r="C10" s="213" t="s">
        <v>235</v>
      </c>
      <c r="D10" s="209" t="s">
        <v>156</v>
      </c>
      <c r="E10" s="213">
        <v>911100</v>
      </c>
      <c r="F10" s="215">
        <v>7.6499999999999999E-2</v>
      </c>
      <c r="G10" s="249"/>
      <c r="H10" s="249"/>
      <c r="I10" s="257"/>
      <c r="J10" s="270" t="s">
        <v>198</v>
      </c>
      <c r="K10" s="248"/>
      <c r="L10" s="275" t="s">
        <v>198</v>
      </c>
      <c r="M10" s="349" t="s">
        <v>304</v>
      </c>
      <c r="N10" s="350" t="s">
        <v>304</v>
      </c>
    </row>
    <row r="11" spans="1:14" x14ac:dyDescent="0.2">
      <c r="A11" s="212">
        <v>30</v>
      </c>
      <c r="B11" s="342" t="s">
        <v>301</v>
      </c>
      <c r="C11" s="213" t="s">
        <v>236</v>
      </c>
      <c r="D11" s="212">
        <v>1</v>
      </c>
      <c r="E11" s="213">
        <v>913100</v>
      </c>
      <c r="F11" s="215">
        <v>7.6499999999999999E-2</v>
      </c>
      <c r="G11" s="249"/>
      <c r="H11" s="215">
        <v>0.13830000000000001</v>
      </c>
      <c r="I11" s="232">
        <v>7397</v>
      </c>
      <c r="J11" s="270" t="s">
        <v>198</v>
      </c>
      <c r="K11" s="248"/>
      <c r="L11" s="275" t="s">
        <v>198</v>
      </c>
      <c r="M11" s="349" t="s">
        <v>304</v>
      </c>
      <c r="N11" s="350" t="s">
        <v>304</v>
      </c>
    </row>
    <row r="12" spans="1:14" x14ac:dyDescent="0.2">
      <c r="A12" s="212">
        <v>32</v>
      </c>
      <c r="B12" s="342" t="s">
        <v>301</v>
      </c>
      <c r="C12" s="213" t="s">
        <v>237</v>
      </c>
      <c r="D12" s="212">
        <v>1</v>
      </c>
      <c r="E12" s="213">
        <v>913100</v>
      </c>
      <c r="F12" s="215">
        <v>7.6499999999999999E-2</v>
      </c>
      <c r="G12" s="250"/>
      <c r="H12" s="215">
        <v>0.13830000000000001</v>
      </c>
      <c r="I12" s="232">
        <v>7397</v>
      </c>
      <c r="J12" s="270" t="s">
        <v>198</v>
      </c>
      <c r="K12" s="248"/>
      <c r="L12" s="275" t="s">
        <v>198</v>
      </c>
      <c r="M12" s="349" t="s">
        <v>304</v>
      </c>
      <c r="N12" s="350" t="s">
        <v>304</v>
      </c>
    </row>
    <row r="13" spans="1:14" x14ac:dyDescent="0.2">
      <c r="A13" s="212">
        <v>36</v>
      </c>
      <c r="B13" s="342" t="s">
        <v>301</v>
      </c>
      <c r="C13" s="213" t="s">
        <v>238</v>
      </c>
      <c r="D13" s="212">
        <v>1</v>
      </c>
      <c r="E13" s="213">
        <v>913100</v>
      </c>
      <c r="F13" s="215">
        <v>7.6499999999999999E-2</v>
      </c>
      <c r="G13" s="250"/>
      <c r="H13" s="215">
        <v>0.13830000000000001</v>
      </c>
      <c r="I13" s="232">
        <v>7397</v>
      </c>
      <c r="J13" s="270" t="s">
        <v>198</v>
      </c>
      <c r="K13" s="248"/>
      <c r="L13" s="275" t="s">
        <v>198</v>
      </c>
      <c r="M13" s="349" t="s">
        <v>304</v>
      </c>
      <c r="N13" s="350" t="s">
        <v>304</v>
      </c>
    </row>
    <row r="14" spans="1:14" x14ac:dyDescent="0.2">
      <c r="A14" s="212">
        <v>40</v>
      </c>
      <c r="B14" s="343" t="s">
        <v>302</v>
      </c>
      <c r="C14" s="213" t="s">
        <v>239</v>
      </c>
      <c r="D14" s="264"/>
      <c r="E14" s="213">
        <v>911200</v>
      </c>
      <c r="F14" s="214">
        <v>7.6499999999999999E-2</v>
      </c>
      <c r="G14" s="249"/>
      <c r="H14" s="255"/>
      <c r="I14" s="257" t="s">
        <v>218</v>
      </c>
      <c r="J14" s="271" t="s">
        <v>200</v>
      </c>
      <c r="K14" s="248"/>
      <c r="L14" s="275" t="s">
        <v>198</v>
      </c>
      <c r="M14" s="351"/>
      <c r="N14" s="350" t="s">
        <v>304</v>
      </c>
    </row>
    <row r="15" spans="1:14" x14ac:dyDescent="0.2">
      <c r="A15" s="212">
        <v>50</v>
      </c>
      <c r="B15" s="343" t="s">
        <v>302</v>
      </c>
      <c r="C15" s="213" t="s">
        <v>240</v>
      </c>
      <c r="D15" s="264"/>
      <c r="E15" s="213">
        <v>911200</v>
      </c>
      <c r="F15" s="214">
        <v>7.6499999999999999E-2</v>
      </c>
      <c r="G15" s="252"/>
      <c r="H15" s="255"/>
      <c r="I15" s="256"/>
      <c r="J15" s="271" t="s">
        <v>200</v>
      </c>
      <c r="K15" s="248"/>
      <c r="L15" s="275" t="s">
        <v>198</v>
      </c>
      <c r="M15" s="351"/>
      <c r="N15" s="350" t="s">
        <v>304</v>
      </c>
    </row>
    <row r="16" spans="1:14" x14ac:dyDescent="0.2">
      <c r="A16" s="212">
        <v>45</v>
      </c>
      <c r="B16" s="343" t="s">
        <v>302</v>
      </c>
      <c r="C16" s="213" t="s">
        <v>241</v>
      </c>
      <c r="D16" s="264"/>
      <c r="E16" s="213">
        <v>911300</v>
      </c>
      <c r="F16" s="215">
        <v>7.6499999999999999E-2</v>
      </c>
      <c r="G16" s="252"/>
      <c r="H16" s="255"/>
      <c r="I16" s="256"/>
      <c r="J16" s="271" t="s">
        <v>200</v>
      </c>
      <c r="K16" s="248"/>
      <c r="L16" s="275" t="s">
        <v>198</v>
      </c>
      <c r="M16" s="351"/>
      <c r="N16" s="350" t="s">
        <v>304</v>
      </c>
    </row>
    <row r="17" spans="1:14" x14ac:dyDescent="0.2">
      <c r="A17" s="212">
        <v>45</v>
      </c>
      <c r="B17" s="343" t="s">
        <v>302</v>
      </c>
      <c r="C17" s="213" t="s">
        <v>242</v>
      </c>
      <c r="D17" s="264"/>
      <c r="E17" s="213">
        <v>913300</v>
      </c>
      <c r="F17" s="215">
        <v>7.6499999999999999E-2</v>
      </c>
      <c r="G17" s="252"/>
      <c r="H17" s="255"/>
      <c r="I17" s="256"/>
      <c r="J17" s="271" t="s">
        <v>200</v>
      </c>
      <c r="K17" s="248"/>
      <c r="L17" s="275" t="s">
        <v>198</v>
      </c>
      <c r="M17" s="351"/>
      <c r="N17" s="350" t="s">
        <v>304</v>
      </c>
    </row>
    <row r="18" spans="1:14" x14ac:dyDescent="0.2">
      <c r="A18" s="212">
        <v>50</v>
      </c>
      <c r="B18" s="343" t="s">
        <v>302</v>
      </c>
      <c r="C18" s="213" t="s">
        <v>243</v>
      </c>
      <c r="D18" s="264"/>
      <c r="E18" s="213">
        <v>913200</v>
      </c>
      <c r="F18" s="215">
        <v>7.6499999999999999E-2</v>
      </c>
      <c r="G18" s="252"/>
      <c r="H18" s="255"/>
      <c r="I18" s="256"/>
      <c r="J18" s="271" t="s">
        <v>200</v>
      </c>
      <c r="K18" s="248"/>
      <c r="L18" s="275" t="s">
        <v>198</v>
      </c>
      <c r="M18" s="351"/>
      <c r="N18" s="350" t="s">
        <v>304</v>
      </c>
    </row>
    <row r="19" spans="1:14" x14ac:dyDescent="0.2">
      <c r="A19" s="212">
        <v>60</v>
      </c>
      <c r="B19" s="343" t="s">
        <v>302</v>
      </c>
      <c r="C19" s="213" t="s">
        <v>161</v>
      </c>
      <c r="D19" s="213" t="s">
        <v>160</v>
      </c>
      <c r="E19" s="213">
        <v>913250</v>
      </c>
      <c r="F19" s="214" t="s">
        <v>174</v>
      </c>
      <c r="G19" s="253"/>
      <c r="H19" s="250"/>
      <c r="I19" s="257"/>
      <c r="J19" s="271" t="s">
        <v>200</v>
      </c>
      <c r="K19" s="261"/>
      <c r="L19" s="249" t="s">
        <v>200</v>
      </c>
      <c r="M19" s="351"/>
      <c r="N19" s="350" t="s">
        <v>304</v>
      </c>
    </row>
    <row r="20" spans="1:14" x14ac:dyDescent="0.2">
      <c r="A20" s="212">
        <v>60</v>
      </c>
      <c r="B20" s="343" t="s">
        <v>302</v>
      </c>
      <c r="C20" s="213" t="s">
        <v>162</v>
      </c>
      <c r="D20" s="213" t="s">
        <v>160</v>
      </c>
      <c r="E20" s="213">
        <v>911250</v>
      </c>
      <c r="F20" s="214" t="s">
        <v>174</v>
      </c>
      <c r="G20" s="253"/>
      <c r="H20" s="250"/>
      <c r="I20" s="257"/>
      <c r="J20" s="271" t="s">
        <v>200</v>
      </c>
      <c r="K20" s="261"/>
      <c r="L20" s="249" t="s">
        <v>200</v>
      </c>
      <c r="M20" s="351"/>
      <c r="N20" s="350" t="s">
        <v>304</v>
      </c>
    </row>
    <row r="21" spans="1:14" x14ac:dyDescent="0.2">
      <c r="A21" s="212">
        <v>60</v>
      </c>
      <c r="B21" s="343" t="s">
        <v>302</v>
      </c>
      <c r="C21" s="213" t="s">
        <v>163</v>
      </c>
      <c r="D21" s="213" t="s">
        <v>160</v>
      </c>
      <c r="E21" s="213">
        <v>911260</v>
      </c>
      <c r="F21" s="214" t="s">
        <v>174</v>
      </c>
      <c r="G21" s="253"/>
      <c r="H21" s="250"/>
      <c r="I21" s="257"/>
      <c r="J21" s="271" t="s">
        <v>200</v>
      </c>
      <c r="K21" s="261"/>
      <c r="L21" s="249" t="s">
        <v>200</v>
      </c>
      <c r="M21" s="351"/>
      <c r="N21" s="350" t="s">
        <v>304</v>
      </c>
    </row>
    <row r="22" spans="1:14" x14ac:dyDescent="0.2">
      <c r="A22" s="212">
        <v>70</v>
      </c>
      <c r="B22" s="343" t="s">
        <v>302</v>
      </c>
      <c r="C22" s="213" t="s">
        <v>164</v>
      </c>
      <c r="D22" s="213" t="s">
        <v>165</v>
      </c>
      <c r="E22" s="213">
        <v>915020</v>
      </c>
      <c r="F22" s="228" t="s">
        <v>174</v>
      </c>
      <c r="G22" s="250"/>
      <c r="H22" s="250"/>
      <c r="I22" s="258"/>
      <c r="J22" s="271" t="s">
        <v>200</v>
      </c>
      <c r="K22" s="262"/>
      <c r="L22" s="249" t="s">
        <v>200</v>
      </c>
      <c r="M22" s="349" t="s">
        <v>304</v>
      </c>
      <c r="N22" s="350" t="s">
        <v>304</v>
      </c>
    </row>
    <row r="23" spans="1:14" x14ac:dyDescent="0.2">
      <c r="A23" s="212">
        <v>72</v>
      </c>
      <c r="B23" s="343" t="s">
        <v>302</v>
      </c>
      <c r="C23" s="213" t="s">
        <v>150</v>
      </c>
      <c r="D23" s="213" t="s">
        <v>165</v>
      </c>
      <c r="E23" s="213">
        <v>915020</v>
      </c>
      <c r="F23" s="228" t="s">
        <v>174</v>
      </c>
      <c r="G23" s="250"/>
      <c r="H23" s="250"/>
      <c r="I23" s="258"/>
      <c r="J23" s="271" t="s">
        <v>200</v>
      </c>
      <c r="K23" s="262"/>
      <c r="L23" s="249" t="s">
        <v>200</v>
      </c>
      <c r="M23" s="349" t="s">
        <v>304</v>
      </c>
      <c r="N23" s="350" t="s">
        <v>304</v>
      </c>
    </row>
    <row r="24" spans="1:14" x14ac:dyDescent="0.2">
      <c r="A24" s="212">
        <v>75</v>
      </c>
      <c r="B24" s="343" t="s">
        <v>302</v>
      </c>
      <c r="C24" s="290" t="s">
        <v>249</v>
      </c>
      <c r="D24" s="213" t="s">
        <v>165</v>
      </c>
      <c r="E24" s="213">
        <v>915030</v>
      </c>
      <c r="F24" s="228" t="s">
        <v>174</v>
      </c>
      <c r="G24" s="250"/>
      <c r="H24" s="250"/>
      <c r="I24" s="258"/>
      <c r="J24" s="271" t="s">
        <v>200</v>
      </c>
      <c r="K24" s="262"/>
      <c r="L24" s="249" t="s">
        <v>200</v>
      </c>
      <c r="M24" s="349" t="s">
        <v>304</v>
      </c>
      <c r="N24" s="350" t="s">
        <v>304</v>
      </c>
    </row>
    <row r="25" spans="1:14" x14ac:dyDescent="0.2">
      <c r="A25" s="212" t="s">
        <v>172</v>
      </c>
      <c r="B25" s="343" t="s">
        <v>302</v>
      </c>
      <c r="C25" s="213" t="s">
        <v>173</v>
      </c>
      <c r="D25" s="213" t="s">
        <v>170</v>
      </c>
      <c r="E25" s="227" t="s">
        <v>171</v>
      </c>
      <c r="F25" s="230" t="s">
        <v>174</v>
      </c>
      <c r="G25" s="254"/>
      <c r="H25" s="254"/>
      <c r="I25" s="259"/>
      <c r="J25" s="271" t="s">
        <v>200</v>
      </c>
      <c r="K25" s="262"/>
      <c r="L25" s="249" t="s">
        <v>200</v>
      </c>
      <c r="M25" s="352" t="s">
        <v>304</v>
      </c>
      <c r="N25" s="353" t="s">
        <v>304</v>
      </c>
    </row>
    <row r="26" spans="1:14" x14ac:dyDescent="0.2">
      <c r="I26" s="208"/>
      <c r="J26" s="208"/>
      <c r="K26" s="208"/>
    </row>
    <row r="27" spans="1:14" x14ac:dyDescent="0.2">
      <c r="A27" s="226" t="s">
        <v>167</v>
      </c>
      <c r="B27" s="226"/>
      <c r="C27" s="204" t="s">
        <v>244</v>
      </c>
      <c r="I27" s="208"/>
      <c r="J27" s="208"/>
      <c r="K27" s="208"/>
    </row>
    <row r="28" spans="1:14" x14ac:dyDescent="0.2">
      <c r="A28" s="226" t="s">
        <v>168</v>
      </c>
      <c r="B28" s="226"/>
      <c r="C28" s="204" t="s">
        <v>169</v>
      </c>
      <c r="I28" s="208"/>
      <c r="J28" s="208"/>
      <c r="K28" s="208"/>
    </row>
    <row r="31" spans="1:14" ht="12.75" x14ac:dyDescent="0.2">
      <c r="C31" s="285"/>
    </row>
    <row r="32" spans="1:14" ht="12.75" x14ac:dyDescent="0.2">
      <c r="C32" s="115"/>
    </row>
    <row r="33" spans="3:3" ht="12.75" x14ac:dyDescent="0.2">
      <c r="C33" s="285"/>
    </row>
    <row r="34" spans="3:3" ht="12.75" x14ac:dyDescent="0.2">
      <c r="C34" s="115"/>
    </row>
    <row r="35" spans="3:3" ht="12.75" x14ac:dyDescent="0.2">
      <c r="C35" s="285"/>
    </row>
    <row r="36" spans="3:3" ht="12.75" x14ac:dyDescent="0.2">
      <c r="C36" s="115"/>
    </row>
    <row r="37" spans="3:3" ht="12.75" x14ac:dyDescent="0.2">
      <c r="C37" s="285"/>
    </row>
    <row r="38" spans="3:3" ht="12.75" x14ac:dyDescent="0.2">
      <c r="C38" s="115"/>
    </row>
    <row r="39" spans="3:3" ht="12.75" x14ac:dyDescent="0.2">
      <c r="C39" s="285"/>
    </row>
  </sheetData>
  <mergeCells count="2">
    <mergeCell ref="F1:I1"/>
    <mergeCell ref="M1:N1"/>
  </mergeCells>
  <pageMargins left="0.7" right="0.7" top="0.75" bottom="0.75" header="0.3" footer="0.3"/>
  <pageSetup scale="85" orientation="landscape" r:id="rId1"/>
  <headerFooter>
    <oddFooter>&amp;L&amp;Z&amp;F&amp;RPage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24686-2A09-46A6-8A35-7EDCF36E24C8}">
  <sheetPr>
    <tabColor theme="7" tint="0.39997558519241921"/>
  </sheetPr>
  <dimension ref="A1:L34"/>
  <sheetViews>
    <sheetView tabSelected="1" workbookViewId="0">
      <selection activeCell="F20" sqref="F20"/>
    </sheetView>
  </sheetViews>
  <sheetFormatPr defaultColWidth="9.140625" defaultRowHeight="12" x14ac:dyDescent="0.2"/>
  <cols>
    <col min="1" max="1" width="55.140625" style="34" customWidth="1"/>
    <col min="2" max="2" width="9.42578125" style="34" customWidth="1"/>
    <col min="3" max="3" width="9.85546875" style="34" customWidth="1"/>
    <col min="4" max="4" width="3.42578125" style="34" customWidth="1"/>
    <col min="5" max="5" width="1.5703125" style="34" customWidth="1"/>
    <col min="6" max="6" width="45.42578125" style="34" customWidth="1"/>
    <col min="7" max="7" width="9" style="34" customWidth="1"/>
    <col min="8" max="8" width="9.85546875" style="34" customWidth="1"/>
    <col min="9" max="9" width="3.140625" style="34" customWidth="1"/>
    <col min="10" max="16384" width="9.140625" style="34"/>
  </cols>
  <sheetData>
    <row r="1" spans="1:12" ht="18" x14ac:dyDescent="0.25">
      <c r="A1" s="82" t="s">
        <v>343</v>
      </c>
    </row>
    <row r="3" spans="1:12" ht="30" customHeight="1" x14ac:dyDescent="0.25">
      <c r="A3" s="370" t="s">
        <v>20</v>
      </c>
      <c r="F3" s="370" t="s">
        <v>21</v>
      </c>
    </row>
    <row r="4" spans="1:12" x14ac:dyDescent="0.2">
      <c r="A4" s="117"/>
      <c r="B4" s="118" t="s">
        <v>221</v>
      </c>
      <c r="C4" s="119" t="s">
        <v>223</v>
      </c>
      <c r="F4" s="117"/>
      <c r="G4" s="118" t="s">
        <v>221</v>
      </c>
      <c r="H4" s="119" t="s">
        <v>223</v>
      </c>
    </row>
    <row r="5" spans="1:12" x14ac:dyDescent="0.2">
      <c r="A5" s="120" t="s">
        <v>72</v>
      </c>
      <c r="B5" s="121">
        <v>100000</v>
      </c>
      <c r="C5" s="41">
        <v>100000</v>
      </c>
      <c r="F5" s="120" t="s">
        <v>73</v>
      </c>
      <c r="G5" s="121">
        <v>50000</v>
      </c>
      <c r="H5" s="41">
        <v>50000</v>
      </c>
    </row>
    <row r="6" spans="1:12" x14ac:dyDescent="0.2">
      <c r="A6" s="83" t="s">
        <v>345</v>
      </c>
      <c r="B6" s="42">
        <f>-C22</f>
        <v>-7397</v>
      </c>
      <c r="C6" s="43">
        <f>-C22</f>
        <v>-7397</v>
      </c>
      <c r="F6" s="120" t="str">
        <f>A10</f>
        <v>FICA (Salary X .0765)</v>
      </c>
      <c r="G6" s="121">
        <f>G5*C18</f>
        <v>3825</v>
      </c>
      <c r="H6" s="41">
        <f>H5*C18</f>
        <v>3825</v>
      </c>
    </row>
    <row r="7" spans="1:12" x14ac:dyDescent="0.2">
      <c r="A7" s="120" t="s">
        <v>12</v>
      </c>
      <c r="B7" s="121">
        <f>SUM(B5:B6)</f>
        <v>92603</v>
      </c>
      <c r="C7" s="41">
        <f>SUM(C5:C6)</f>
        <v>92603</v>
      </c>
      <c r="F7" s="120" t="str">
        <f>A11</f>
        <v>Retirement (Salary x .2450 for SHRA or .1383 for EHRA)</v>
      </c>
      <c r="G7" s="121">
        <f>G5*C19</f>
        <v>12250</v>
      </c>
      <c r="H7" s="41">
        <f>H5*C20</f>
        <v>6915</v>
      </c>
    </row>
    <row r="8" spans="1:12" x14ac:dyDescent="0.2">
      <c r="A8" s="120"/>
      <c r="B8" s="121"/>
      <c r="C8" s="41"/>
      <c r="F8" s="120" t="s">
        <v>0</v>
      </c>
      <c r="G8" s="42">
        <f>C22</f>
        <v>7397</v>
      </c>
      <c r="H8" s="43">
        <f>C22</f>
        <v>7397</v>
      </c>
    </row>
    <row r="9" spans="1:12" x14ac:dyDescent="0.2">
      <c r="A9" s="120" t="s">
        <v>76</v>
      </c>
      <c r="B9" s="121">
        <f>B7/(1+C18+C19)</f>
        <v>70074.158153613331</v>
      </c>
      <c r="C9" s="41">
        <f>C7/(1+C18+C20)</f>
        <v>76229.008890352314</v>
      </c>
      <c r="F9" s="120"/>
      <c r="G9" s="121"/>
      <c r="H9" s="41"/>
    </row>
    <row r="10" spans="1:12" x14ac:dyDescent="0.2">
      <c r="A10" s="120" t="s">
        <v>77</v>
      </c>
      <c r="B10" s="121">
        <f>B9*C18</f>
        <v>5360.6730987514193</v>
      </c>
      <c r="C10" s="41">
        <f>C9*C18</f>
        <v>5831.5191801119518</v>
      </c>
      <c r="F10" s="366" t="s">
        <v>90</v>
      </c>
      <c r="G10" s="367">
        <f>SUM(G5:G8)</f>
        <v>73472</v>
      </c>
      <c r="H10" s="368">
        <f>SUM(H5:H8)</f>
        <v>68137</v>
      </c>
    </row>
    <row r="11" spans="1:12" x14ac:dyDescent="0.2">
      <c r="A11" s="120" t="s">
        <v>355</v>
      </c>
      <c r="B11" s="121">
        <f>B9*C19</f>
        <v>17168.168747635267</v>
      </c>
      <c r="C11" s="41">
        <f>C9*C20</f>
        <v>10542.471929535726</v>
      </c>
      <c r="F11" s="120"/>
      <c r="G11" s="44"/>
      <c r="H11" s="126"/>
    </row>
    <row r="12" spans="1:12" x14ac:dyDescent="0.2">
      <c r="A12" s="120" t="s">
        <v>0</v>
      </c>
      <c r="B12" s="42">
        <f>C22</f>
        <v>7397</v>
      </c>
      <c r="C12" s="43">
        <f>C22</f>
        <v>7397</v>
      </c>
      <c r="F12" s="120"/>
      <c r="G12" s="44"/>
      <c r="H12" s="126"/>
    </row>
    <row r="13" spans="1:12" x14ac:dyDescent="0.2">
      <c r="A13" s="122" t="s">
        <v>13</v>
      </c>
      <c r="B13" s="47">
        <f>SUM(B9:B12)</f>
        <v>100000.00000000001</v>
      </c>
      <c r="C13" s="48">
        <f>SUM(C9:C12)</f>
        <v>99999.999999999985</v>
      </c>
      <c r="F13" s="122"/>
      <c r="G13" s="123"/>
      <c r="H13" s="124"/>
    </row>
    <row r="14" spans="1:12" x14ac:dyDescent="0.2">
      <c r="L14" s="287"/>
    </row>
    <row r="15" spans="1:12" ht="12.75" x14ac:dyDescent="0.2">
      <c r="A15" s="243" t="s">
        <v>344</v>
      </c>
      <c r="B15" s="188"/>
      <c r="C15" s="189"/>
      <c r="F15" s="116" t="s">
        <v>93</v>
      </c>
      <c r="G15" s="115"/>
      <c r="H15" s="115"/>
    </row>
    <row r="16" spans="1:12" x14ac:dyDescent="0.2">
      <c r="A16" s="190"/>
      <c r="B16" s="191"/>
      <c r="C16" s="192"/>
      <c r="F16" s="117"/>
      <c r="G16" s="118" t="s">
        <v>221</v>
      </c>
      <c r="H16" s="119" t="s">
        <v>223</v>
      </c>
      <c r="L16" s="287"/>
    </row>
    <row r="17" spans="1:8" x14ac:dyDescent="0.2">
      <c r="A17" s="193" t="s">
        <v>1</v>
      </c>
      <c r="B17" s="194" t="s">
        <v>2</v>
      </c>
      <c r="C17" s="195" t="s">
        <v>3</v>
      </c>
      <c r="F17" s="120" t="s">
        <v>73</v>
      </c>
      <c r="G17" s="121">
        <v>50000</v>
      </c>
      <c r="H17" s="127">
        <v>50000</v>
      </c>
    </row>
    <row r="18" spans="1:8" x14ac:dyDescent="0.2">
      <c r="A18" s="196" t="s">
        <v>4</v>
      </c>
      <c r="B18" s="197">
        <v>919150</v>
      </c>
      <c r="C18" s="198">
        <v>7.6499999999999999E-2</v>
      </c>
      <c r="F18" s="120" t="str">
        <f>A10</f>
        <v>FICA (Salary X .0765)</v>
      </c>
      <c r="G18" s="121">
        <f>G17*C18</f>
        <v>3825</v>
      </c>
      <c r="H18" s="127">
        <f>H17*C18</f>
        <v>3825</v>
      </c>
    </row>
    <row r="19" spans="1:8" x14ac:dyDescent="0.2">
      <c r="A19" s="196" t="s">
        <v>57</v>
      </c>
      <c r="B19" s="197">
        <v>919050</v>
      </c>
      <c r="C19" s="198">
        <v>0.245</v>
      </c>
      <c r="F19" s="120" t="s">
        <v>356</v>
      </c>
      <c r="G19" s="121">
        <f>G17*C21</f>
        <v>14750</v>
      </c>
      <c r="H19" s="127">
        <f>H17*C21</f>
        <v>14750</v>
      </c>
    </row>
    <row r="20" spans="1:8" x14ac:dyDescent="0.2">
      <c r="A20" s="196" t="s">
        <v>7</v>
      </c>
      <c r="B20" s="197">
        <v>918000</v>
      </c>
      <c r="C20" s="198">
        <v>0.13830000000000001</v>
      </c>
      <c r="F20" s="120" t="s">
        <v>0</v>
      </c>
      <c r="G20" s="125">
        <f>C22</f>
        <v>7397</v>
      </c>
      <c r="H20" s="109">
        <f>C22</f>
        <v>7397</v>
      </c>
    </row>
    <row r="21" spans="1:8" x14ac:dyDescent="0.2">
      <c r="A21" s="196" t="s">
        <v>86</v>
      </c>
      <c r="B21" s="197">
        <v>919100</v>
      </c>
      <c r="C21" s="198">
        <v>0.29499999999999998</v>
      </c>
      <c r="F21" s="120" t="s">
        <v>95</v>
      </c>
      <c r="G21" s="121">
        <f>SUM(G17:G20)</f>
        <v>75972</v>
      </c>
      <c r="H21" s="127">
        <f>SUM(H17:H20)</f>
        <v>75972</v>
      </c>
    </row>
    <row r="22" spans="1:8" x14ac:dyDescent="0.2">
      <c r="A22" s="93" t="s">
        <v>247</v>
      </c>
      <c r="B22" s="197">
        <v>917000</v>
      </c>
      <c r="C22" s="94">
        <v>7397</v>
      </c>
      <c r="D22" s="34" t="s">
        <v>22</v>
      </c>
      <c r="F22" s="120"/>
      <c r="G22" s="121"/>
      <c r="H22" s="126"/>
    </row>
    <row r="23" spans="1:8" x14ac:dyDescent="0.2">
      <c r="A23" s="196"/>
      <c r="B23" s="191"/>
      <c r="C23" s="192"/>
      <c r="F23" s="174"/>
      <c r="G23" s="175"/>
      <c r="H23" s="176"/>
    </row>
    <row r="24" spans="1:8" x14ac:dyDescent="0.2">
      <c r="A24" s="196" t="s">
        <v>222</v>
      </c>
      <c r="B24" s="200">
        <f>SUM(C18+C19)</f>
        <v>0.32150000000000001</v>
      </c>
      <c r="C24" s="192"/>
      <c r="F24" s="120" t="s">
        <v>72</v>
      </c>
      <c r="G24" s="121">
        <v>50000</v>
      </c>
      <c r="H24" s="41">
        <v>50000</v>
      </c>
    </row>
    <row r="25" spans="1:8" x14ac:dyDescent="0.2">
      <c r="A25" s="196" t="s">
        <v>224</v>
      </c>
      <c r="B25" s="200">
        <f>C18+C20</f>
        <v>0.21479999999999999</v>
      </c>
      <c r="C25" s="192"/>
      <c r="F25" s="83" t="s">
        <v>339</v>
      </c>
      <c r="G25" s="42">
        <f>-C22</f>
        <v>-7397</v>
      </c>
      <c r="H25" s="43">
        <f>-C22</f>
        <v>-7397</v>
      </c>
    </row>
    <row r="26" spans="1:8" x14ac:dyDescent="0.2">
      <c r="A26" s="201" t="s">
        <v>185</v>
      </c>
      <c r="B26" s="202">
        <f>SUM(C18+C21)</f>
        <v>0.3715</v>
      </c>
      <c r="C26" s="203"/>
      <c r="F26" s="120" t="s">
        <v>12</v>
      </c>
      <c r="G26" s="121">
        <f>SUM(G24:G25)</f>
        <v>42603</v>
      </c>
      <c r="H26" s="41">
        <f>SUM(H24:H25)</f>
        <v>42603</v>
      </c>
    </row>
    <row r="27" spans="1:8" x14ac:dyDescent="0.2">
      <c r="F27" s="120"/>
      <c r="G27" s="121"/>
      <c r="H27" s="126"/>
    </row>
    <row r="28" spans="1:8" x14ac:dyDescent="0.2">
      <c r="A28" s="34" t="s">
        <v>353</v>
      </c>
      <c r="F28" s="120" t="s">
        <v>76</v>
      </c>
      <c r="G28" s="121">
        <f>G26/(1+C18+C21)</f>
        <v>31063.069631790011</v>
      </c>
      <c r="H28" s="41">
        <f>H26/(1+C18+C21)</f>
        <v>31063.069631790011</v>
      </c>
    </row>
    <row r="29" spans="1:8" x14ac:dyDescent="0.2">
      <c r="F29" s="120" t="str">
        <f>A10</f>
        <v>FICA (Salary X .0765)</v>
      </c>
      <c r="G29" s="121">
        <f>G28*C18</f>
        <v>2376.3248268319358</v>
      </c>
      <c r="H29" s="41">
        <f>H28*C18</f>
        <v>2376.3248268319358</v>
      </c>
    </row>
    <row r="30" spans="1:8" x14ac:dyDescent="0.2">
      <c r="A30" s="34" t="s">
        <v>219</v>
      </c>
      <c r="F30" s="120" t="str">
        <f>F19</f>
        <v>LEO Retirement (Salary x .2950 for both EHRA &amp; SHRA)</v>
      </c>
      <c r="G30" s="121">
        <f>G28*C21</f>
        <v>9163.6055413780523</v>
      </c>
      <c r="H30" s="41">
        <f>H28*C21</f>
        <v>9163.6055413780523</v>
      </c>
    </row>
    <row r="31" spans="1:8" x14ac:dyDescent="0.2">
      <c r="F31" s="120" t="s">
        <v>0</v>
      </c>
      <c r="G31" s="42">
        <f>C22</f>
        <v>7397</v>
      </c>
      <c r="H31" s="242">
        <f>C22</f>
        <v>7397</v>
      </c>
    </row>
    <row r="32" spans="1:8" ht="25.5" x14ac:dyDescent="0.2">
      <c r="A32" s="288" t="s">
        <v>220</v>
      </c>
      <c r="F32" s="122" t="s">
        <v>13</v>
      </c>
      <c r="G32" s="47">
        <f>SUM(G28:G31)</f>
        <v>50000</v>
      </c>
      <c r="H32" s="48">
        <f>SUM(H28:H31)</f>
        <v>50000</v>
      </c>
    </row>
    <row r="33" spans="1:8" x14ac:dyDescent="0.2">
      <c r="H33" s="178"/>
    </row>
    <row r="34" spans="1:8" ht="12.75" x14ac:dyDescent="0.2">
      <c r="A34" s="362"/>
    </row>
  </sheetData>
  <hyperlinks>
    <hyperlink ref="A32" r:id="rId1" xr:uid="{9836B084-546A-4872-8DFF-5F695DA31A3C}"/>
  </hyperlinks>
  <pageMargins left="0.75" right="0.75" top="1" bottom="1" header="0.5" footer="0.5"/>
  <pageSetup scale="85" orientation="landscape" cellComments="asDisplayed" r:id="rId2"/>
  <headerFooter alignWithMargins="0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490EA-FEA4-4195-B7D8-E7ABFA95C158}">
  <sheetPr>
    <tabColor rgb="FF92D050"/>
  </sheetPr>
  <dimension ref="A1:G33"/>
  <sheetViews>
    <sheetView workbookViewId="0">
      <selection activeCell="C23" sqref="C23"/>
    </sheetView>
  </sheetViews>
  <sheetFormatPr defaultColWidth="9.140625" defaultRowHeight="12" x14ac:dyDescent="0.2"/>
  <cols>
    <col min="1" max="1" width="55.5703125" style="34" customWidth="1"/>
    <col min="2" max="2" width="9.5703125" style="34" bestFit="1" customWidth="1"/>
    <col min="3" max="3" width="9" style="34" bestFit="1" customWidth="1"/>
    <col min="4" max="4" width="3.42578125" style="34" customWidth="1"/>
    <col min="5" max="5" width="53.42578125" style="34" customWidth="1"/>
    <col min="6" max="6" width="9.85546875" style="34" customWidth="1"/>
    <col min="7" max="7" width="9.5703125" style="34" customWidth="1"/>
    <col min="8" max="16384" width="9.140625" style="34"/>
  </cols>
  <sheetData>
    <row r="1" spans="1:7" ht="18" x14ac:dyDescent="0.25">
      <c r="A1" s="82" t="s">
        <v>346</v>
      </c>
    </row>
    <row r="3" spans="1:7" x14ac:dyDescent="0.2">
      <c r="A3" s="35"/>
    </row>
    <row r="4" spans="1:7" ht="15.75" x14ac:dyDescent="0.25">
      <c r="A4" s="369" t="s">
        <v>20</v>
      </c>
      <c r="B4" s="140"/>
      <c r="C4" s="140"/>
      <c r="E4" s="370" t="s">
        <v>21</v>
      </c>
    </row>
    <row r="5" spans="1:7" x14ac:dyDescent="0.2">
      <c r="A5" s="142"/>
      <c r="B5" s="143" t="s">
        <v>221</v>
      </c>
      <c r="C5" s="144" t="s">
        <v>223</v>
      </c>
      <c r="E5" s="117"/>
      <c r="F5" s="118" t="s">
        <v>221</v>
      </c>
      <c r="G5" s="119" t="s">
        <v>223</v>
      </c>
    </row>
    <row r="6" spans="1:7" x14ac:dyDescent="0.2">
      <c r="A6" s="145" t="s">
        <v>336</v>
      </c>
      <c r="B6" s="146">
        <v>100000</v>
      </c>
      <c r="C6" s="147">
        <v>100000</v>
      </c>
      <c r="E6" s="120" t="s">
        <v>335</v>
      </c>
      <c r="F6" s="121">
        <v>100000</v>
      </c>
      <c r="G6" s="41">
        <v>100000</v>
      </c>
    </row>
    <row r="7" spans="1:7" x14ac:dyDescent="0.2">
      <c r="A7" s="153" t="str">
        <f>' FY 22-23 GF Calculator'!A6</f>
        <v>Take out the Medical (Flat amount for FY 22-23)</v>
      </c>
      <c r="B7" s="148">
        <f>-C24</f>
        <v>-7397</v>
      </c>
      <c r="C7" s="149">
        <f>-C24</f>
        <v>-7397</v>
      </c>
      <c r="E7" s="145" t="s">
        <v>102</v>
      </c>
      <c r="F7" s="121">
        <f>F6*C20</f>
        <v>7650</v>
      </c>
      <c r="G7" s="41">
        <f>G6*C20</f>
        <v>7650</v>
      </c>
    </row>
    <row r="8" spans="1:7" x14ac:dyDescent="0.2">
      <c r="A8" s="145" t="s">
        <v>12</v>
      </c>
      <c r="B8" s="146">
        <f>SUM(B6:B7)</f>
        <v>92603</v>
      </c>
      <c r="C8" s="147">
        <f>SUM(C6:C7)</f>
        <v>92603</v>
      </c>
      <c r="E8" s="120" t="str">
        <f>A12</f>
        <v>Retirement (Salary x .2450 for SHRA or .1383 for EHRA)</v>
      </c>
      <c r="F8" s="121">
        <f>F6*C21</f>
        <v>24500</v>
      </c>
      <c r="G8" s="41">
        <f>G6*C22</f>
        <v>13830</v>
      </c>
    </row>
    <row r="9" spans="1:7" x14ac:dyDescent="0.2">
      <c r="A9" s="145"/>
      <c r="B9" s="146"/>
      <c r="C9" s="147"/>
      <c r="E9" s="145" t="s">
        <v>347</v>
      </c>
      <c r="F9" s="121">
        <f>F6*C25</f>
        <v>2270</v>
      </c>
      <c r="G9" s="41">
        <f>G6*C25</f>
        <v>2270</v>
      </c>
    </row>
    <row r="10" spans="1:7" x14ac:dyDescent="0.2">
      <c r="A10" s="145" t="s">
        <v>101</v>
      </c>
      <c r="B10" s="146">
        <f>B8/(1+C20+C21+C25)</f>
        <v>68890.79006100283</v>
      </c>
      <c r="C10" s="147">
        <f>C8/(1+C20+C22+C25)</f>
        <v>74830.707070707067</v>
      </c>
      <c r="E10" s="120" t="s">
        <v>0</v>
      </c>
      <c r="F10" s="42">
        <f>C24</f>
        <v>7397</v>
      </c>
      <c r="G10" s="43">
        <f>C24</f>
        <v>7397</v>
      </c>
    </row>
    <row r="11" spans="1:7" x14ac:dyDescent="0.2">
      <c r="A11" s="145" t="s">
        <v>102</v>
      </c>
      <c r="B11" s="146">
        <f>B10*C20</f>
        <v>5270.1454396667168</v>
      </c>
      <c r="C11" s="147">
        <f>C10*C20</f>
        <v>5724.5490909090904</v>
      </c>
      <c r="E11" s="120"/>
      <c r="F11" s="121"/>
      <c r="G11" s="41"/>
    </row>
    <row r="12" spans="1:7" x14ac:dyDescent="0.2">
      <c r="A12" s="120" t="str">
        <f>' FY 22-23 GF Calculator'!A11</f>
        <v>Retirement (Salary x .2450 for SHRA or .1383 for EHRA)</v>
      </c>
      <c r="B12" s="121">
        <f>B10*C21</f>
        <v>16878.243564945693</v>
      </c>
      <c r="C12" s="41">
        <f>C10*C22</f>
        <v>10349.086787878789</v>
      </c>
      <c r="E12" s="366" t="s">
        <v>90</v>
      </c>
      <c r="F12" s="367">
        <f>SUM(F6:F10)</f>
        <v>141817</v>
      </c>
      <c r="G12" s="368">
        <f>SUM(G6:G10)</f>
        <v>131147</v>
      </c>
    </row>
    <row r="13" spans="1:7" x14ac:dyDescent="0.2">
      <c r="A13" s="145" t="s">
        <v>347</v>
      </c>
      <c r="B13" s="186">
        <f>B10*C25</f>
        <v>1563.8209343847643</v>
      </c>
      <c r="C13" s="147">
        <f>C10*C25</f>
        <v>1698.6570505050506</v>
      </c>
      <c r="E13" s="120"/>
      <c r="F13" s="44"/>
      <c r="G13" s="126"/>
    </row>
    <row r="14" spans="1:7" x14ac:dyDescent="0.2">
      <c r="A14" s="145" t="s">
        <v>0</v>
      </c>
      <c r="B14" s="148">
        <f>C24</f>
        <v>7397</v>
      </c>
      <c r="C14" s="149">
        <f>C24</f>
        <v>7397</v>
      </c>
      <c r="E14" s="363"/>
      <c r="F14" s="364"/>
      <c r="G14" s="365"/>
    </row>
    <row r="15" spans="1:7" x14ac:dyDescent="0.2">
      <c r="A15" s="150" t="s">
        <v>13</v>
      </c>
      <c r="B15" s="151">
        <f>SUM(B10:B14)</f>
        <v>100000</v>
      </c>
      <c r="C15" s="152">
        <f>SUM(C10:C14)</f>
        <v>99999.999999999985</v>
      </c>
    </row>
    <row r="16" spans="1:7" x14ac:dyDescent="0.2">
      <c r="B16" s="51"/>
    </row>
    <row r="17" spans="1:4" ht="12.75" x14ac:dyDescent="0.2">
      <c r="A17" s="244" t="str">
        <f>' FY 22-23 GF Calculator'!A15</f>
        <v>FY 22-23 BENEFITS RATES (PERMANENT EMPLOYEES)</v>
      </c>
      <c r="B17" s="160"/>
      <c r="C17" s="161"/>
    </row>
    <row r="18" spans="1:4" x14ac:dyDescent="0.2">
      <c r="A18" s="162"/>
      <c r="B18" s="163"/>
      <c r="C18" s="164"/>
    </row>
    <row r="19" spans="1:4" x14ac:dyDescent="0.2">
      <c r="A19" s="165" t="s">
        <v>1</v>
      </c>
      <c r="B19" s="166" t="s">
        <v>2</v>
      </c>
      <c r="C19" s="167" t="s">
        <v>3</v>
      </c>
    </row>
    <row r="20" spans="1:4" x14ac:dyDescent="0.2">
      <c r="A20" s="168" t="s">
        <v>4</v>
      </c>
      <c r="B20" s="169">
        <v>919150</v>
      </c>
      <c r="C20" s="182">
        <f>' FY 16-17 GF Calculator '!C18</f>
        <v>7.6499999999999999E-2</v>
      </c>
    </row>
    <row r="21" spans="1:4" x14ac:dyDescent="0.2">
      <c r="A21" s="168" t="s">
        <v>57</v>
      </c>
      <c r="B21" s="169">
        <v>919050</v>
      </c>
      <c r="C21" s="182">
        <f>' FY 22-23 GF Calculator'!C19</f>
        <v>0.245</v>
      </c>
    </row>
    <row r="22" spans="1:4" x14ac:dyDescent="0.2">
      <c r="A22" s="168" t="s">
        <v>7</v>
      </c>
      <c r="B22" s="169">
        <v>918000</v>
      </c>
      <c r="C22" s="182">
        <f>' FY 22-23 GF Calculator'!C20</f>
        <v>0.13830000000000001</v>
      </c>
    </row>
    <row r="23" spans="1:4" x14ac:dyDescent="0.2">
      <c r="A23" s="168" t="s">
        <v>86</v>
      </c>
      <c r="B23" s="169">
        <v>919100</v>
      </c>
      <c r="C23" s="182">
        <f>' FY 22-23 GF Calculator'!C21</f>
        <v>0.29499999999999998</v>
      </c>
    </row>
    <row r="24" spans="1:4" x14ac:dyDescent="0.2">
      <c r="A24" s="168" t="s">
        <v>6</v>
      </c>
      <c r="B24" s="169">
        <v>917000</v>
      </c>
      <c r="C24" s="132">
        <v>7397</v>
      </c>
      <c r="D24" s="34" t="s">
        <v>22</v>
      </c>
    </row>
    <row r="25" spans="1:4" ht="24" x14ac:dyDescent="0.2">
      <c r="A25" s="289" t="s">
        <v>227</v>
      </c>
      <c r="B25" s="158">
        <v>919700</v>
      </c>
      <c r="C25" s="183">
        <v>2.2700000000000001E-2</v>
      </c>
    </row>
    <row r="26" spans="1:4" x14ac:dyDescent="0.2">
      <c r="A26" s="168"/>
      <c r="B26" s="169"/>
      <c r="C26" s="173"/>
    </row>
    <row r="27" spans="1:4" x14ac:dyDescent="0.2">
      <c r="A27" s="168" t="s">
        <v>225</v>
      </c>
      <c r="B27" s="184">
        <f>SUM(C20+C21+C25)</f>
        <v>0.34420000000000001</v>
      </c>
      <c r="C27" s="164"/>
    </row>
    <row r="28" spans="1:4" x14ac:dyDescent="0.2">
      <c r="A28" s="171" t="s">
        <v>228</v>
      </c>
      <c r="B28" s="185">
        <f>C20+C22+C25</f>
        <v>0.23749999999999999</v>
      </c>
      <c r="C28" s="172"/>
    </row>
    <row r="30" spans="1:4" x14ac:dyDescent="0.2">
      <c r="A30" s="34" t="str">
        <f>' FY 22-23 GF Calculator'!A28</f>
        <v>Updated:  7/12/2022</v>
      </c>
    </row>
    <row r="32" spans="1:4" x14ac:dyDescent="0.2">
      <c r="A32" s="34" t="s">
        <v>219</v>
      </c>
    </row>
    <row r="33" spans="1:1" ht="25.5" x14ac:dyDescent="0.2">
      <c r="A33" s="288" t="s">
        <v>220</v>
      </c>
    </row>
  </sheetData>
  <hyperlinks>
    <hyperlink ref="A33" r:id="rId1" xr:uid="{21D79012-2008-4991-8B37-31BF7B1C49CC}"/>
  </hyperlinks>
  <printOptions horizontalCentered="1"/>
  <pageMargins left="0.1" right="0.1" top="1" bottom="1" header="0.5" footer="0.5"/>
  <pageSetup scale="85" orientation="landscape" cellComments="asDisplayed" r:id="rId2"/>
  <headerFooter alignWithMargins="0">
    <oddFooter>&amp;L&amp;Z&amp;F</oddFooter>
  </headerFooter>
  <drawing r:id="rId3"/>
  <legacy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K29"/>
  <sheetViews>
    <sheetView topLeftCell="A13" workbookViewId="0">
      <selection activeCell="C8" sqref="C8"/>
    </sheetView>
  </sheetViews>
  <sheetFormatPr defaultColWidth="9.140625" defaultRowHeight="12.75" x14ac:dyDescent="0.2"/>
  <cols>
    <col min="1" max="1" width="9.140625" style="99"/>
    <col min="2" max="2" width="10.140625" style="100" bestFit="1" customWidth="1"/>
    <col min="3" max="4" width="10.140625" style="102" bestFit="1" customWidth="1"/>
    <col min="5" max="7" width="9.140625" style="102"/>
    <col min="8" max="8" width="10.5703125" style="102" bestFit="1" customWidth="1"/>
    <col min="9" max="9" width="9.5703125" style="99" bestFit="1" customWidth="1"/>
    <col min="10" max="10" width="15.42578125" style="99" bestFit="1" customWidth="1"/>
    <col min="11" max="11" width="10.140625" style="102" bestFit="1" customWidth="1"/>
    <col min="12" max="16384" width="9.140625" style="99"/>
  </cols>
  <sheetData>
    <row r="1" spans="1:11" x14ac:dyDescent="0.2">
      <c r="A1" s="99" t="s">
        <v>59</v>
      </c>
      <c r="B1" s="100" t="s">
        <v>60</v>
      </c>
      <c r="C1" s="101" t="s">
        <v>189</v>
      </c>
      <c r="D1" s="101" t="s">
        <v>190</v>
      </c>
      <c r="E1" s="101" t="s">
        <v>191</v>
      </c>
      <c r="F1" s="101" t="s">
        <v>192</v>
      </c>
      <c r="G1" s="101" t="s">
        <v>193</v>
      </c>
      <c r="H1" s="102" t="s">
        <v>56</v>
      </c>
    </row>
    <row r="2" spans="1:11" x14ac:dyDescent="0.2">
      <c r="A2" s="103" t="s">
        <v>35</v>
      </c>
      <c r="B2" s="104">
        <v>13</v>
      </c>
      <c r="C2" s="102">
        <v>2541.67</v>
      </c>
      <c r="H2" s="102">
        <f>SUM(C2:G2)</f>
        <v>2541.67</v>
      </c>
      <c r="J2" s="99" t="s">
        <v>58</v>
      </c>
      <c r="K2" s="102">
        <v>61000</v>
      </c>
    </row>
    <row r="3" spans="1:11" x14ac:dyDescent="0.2">
      <c r="A3" s="103" t="s">
        <v>36</v>
      </c>
      <c r="B3" s="104">
        <v>14</v>
      </c>
      <c r="C3" s="102">
        <v>2541.67</v>
      </c>
      <c r="H3" s="102">
        <f t="shared" ref="H3:H24" si="0">SUM(C3:G3)</f>
        <v>2541.67</v>
      </c>
      <c r="J3" s="99" t="s">
        <v>62</v>
      </c>
      <c r="K3" s="102">
        <f>K2/24</f>
        <v>2541.6666666666665</v>
      </c>
    </row>
    <row r="4" spans="1:11" x14ac:dyDescent="0.2">
      <c r="A4" s="103" t="s">
        <v>37</v>
      </c>
      <c r="B4" s="104">
        <v>15</v>
      </c>
      <c r="C4" s="102">
        <v>2541.67</v>
      </c>
      <c r="H4" s="102">
        <f t="shared" si="0"/>
        <v>2541.67</v>
      </c>
    </row>
    <row r="5" spans="1:11" x14ac:dyDescent="0.2">
      <c r="A5" s="103" t="s">
        <v>38</v>
      </c>
      <c r="B5" s="104">
        <v>16</v>
      </c>
      <c r="C5" s="102">
        <v>2541.67</v>
      </c>
      <c r="H5" s="102">
        <f t="shared" si="0"/>
        <v>2541.67</v>
      </c>
    </row>
    <row r="6" spans="1:11" x14ac:dyDescent="0.2">
      <c r="A6" s="103" t="s">
        <v>39</v>
      </c>
      <c r="B6" s="104">
        <v>17</v>
      </c>
      <c r="C6" s="102">
        <v>2541.67</v>
      </c>
      <c r="H6" s="102">
        <f t="shared" si="0"/>
        <v>2541.67</v>
      </c>
    </row>
    <row r="7" spans="1:11" x14ac:dyDescent="0.2">
      <c r="A7" s="105" t="s">
        <v>40</v>
      </c>
      <c r="B7" s="106">
        <v>18</v>
      </c>
      <c r="C7" s="102">
        <v>2541.67</v>
      </c>
      <c r="F7" s="107"/>
      <c r="G7" s="107"/>
      <c r="H7" s="102">
        <f t="shared" si="0"/>
        <v>2541.67</v>
      </c>
    </row>
    <row r="8" spans="1:11" x14ac:dyDescent="0.2">
      <c r="A8" s="103" t="s">
        <v>41</v>
      </c>
      <c r="B8" s="104">
        <v>19</v>
      </c>
      <c r="C8" s="102">
        <v>2541.67</v>
      </c>
      <c r="H8" s="102">
        <f t="shared" si="0"/>
        <v>2541.67</v>
      </c>
    </row>
    <row r="9" spans="1:11" x14ac:dyDescent="0.2">
      <c r="A9" s="103" t="s">
        <v>42</v>
      </c>
      <c r="B9" s="104">
        <v>20</v>
      </c>
      <c r="C9" s="102">
        <v>2541.67</v>
      </c>
      <c r="H9" s="102">
        <f t="shared" si="0"/>
        <v>2541.67</v>
      </c>
    </row>
    <row r="10" spans="1:11" x14ac:dyDescent="0.2">
      <c r="A10" s="103" t="s">
        <v>43</v>
      </c>
      <c r="B10" s="104">
        <v>21</v>
      </c>
      <c r="C10" s="102">
        <v>2541.67</v>
      </c>
      <c r="H10" s="102">
        <f t="shared" si="0"/>
        <v>2541.67</v>
      </c>
    </row>
    <row r="11" spans="1:11" x14ac:dyDescent="0.2">
      <c r="A11" s="103" t="s">
        <v>44</v>
      </c>
      <c r="B11" s="104">
        <v>22</v>
      </c>
      <c r="C11" s="102">
        <v>2541.67</v>
      </c>
      <c r="H11" s="102">
        <f t="shared" si="0"/>
        <v>2541.67</v>
      </c>
    </row>
    <row r="12" spans="1:11" x14ac:dyDescent="0.2">
      <c r="A12" s="103" t="s">
        <v>45</v>
      </c>
      <c r="B12" s="104">
        <v>23</v>
      </c>
      <c r="C12" s="102">
        <v>2541.67</v>
      </c>
      <c r="H12" s="102">
        <f t="shared" si="0"/>
        <v>2541.67</v>
      </c>
    </row>
    <row r="13" spans="1:11" x14ac:dyDescent="0.2">
      <c r="A13" s="103" t="s">
        <v>46</v>
      </c>
      <c r="B13" s="104">
        <v>24</v>
      </c>
      <c r="C13" s="102">
        <v>2541.67</v>
      </c>
      <c r="H13" s="102">
        <f t="shared" si="0"/>
        <v>2541.67</v>
      </c>
    </row>
    <row r="14" spans="1:11" x14ac:dyDescent="0.2">
      <c r="A14" s="103" t="s">
        <v>23</v>
      </c>
      <c r="B14" s="108" t="s">
        <v>47</v>
      </c>
      <c r="C14" s="102">
        <v>2541.67</v>
      </c>
      <c r="H14" s="102">
        <f t="shared" si="0"/>
        <v>2541.67</v>
      </c>
    </row>
    <row r="15" spans="1:11" x14ac:dyDescent="0.2">
      <c r="A15" s="103" t="s">
        <v>24</v>
      </c>
      <c r="B15" s="108" t="s">
        <v>48</v>
      </c>
      <c r="C15" s="102">
        <v>2541.67</v>
      </c>
      <c r="H15" s="102">
        <f t="shared" si="0"/>
        <v>2541.67</v>
      </c>
    </row>
    <row r="16" spans="1:11" x14ac:dyDescent="0.2">
      <c r="A16" s="103" t="s">
        <v>25</v>
      </c>
      <c r="B16" s="108" t="s">
        <v>49</v>
      </c>
      <c r="C16" s="102">
        <v>2541.67</v>
      </c>
      <c r="H16" s="102">
        <f t="shared" si="0"/>
        <v>2541.67</v>
      </c>
    </row>
    <row r="17" spans="1:9" x14ac:dyDescent="0.2">
      <c r="A17" s="103" t="s">
        <v>26</v>
      </c>
      <c r="B17" s="108" t="s">
        <v>50</v>
      </c>
      <c r="C17" s="102">
        <v>2541.67</v>
      </c>
      <c r="H17" s="102">
        <f t="shared" si="0"/>
        <v>2541.67</v>
      </c>
    </row>
    <row r="18" spans="1:9" x14ac:dyDescent="0.2">
      <c r="A18" s="103" t="s">
        <v>27</v>
      </c>
      <c r="B18" s="108" t="s">
        <v>51</v>
      </c>
      <c r="C18" s="102">
        <v>2541.67</v>
      </c>
      <c r="H18" s="102">
        <f t="shared" si="0"/>
        <v>2541.67</v>
      </c>
    </row>
    <row r="19" spans="1:9" x14ac:dyDescent="0.2">
      <c r="A19" s="103" t="s">
        <v>28</v>
      </c>
      <c r="B19" s="108" t="s">
        <v>52</v>
      </c>
      <c r="C19" s="102">
        <v>2541.67</v>
      </c>
      <c r="H19" s="102">
        <f t="shared" si="0"/>
        <v>2541.67</v>
      </c>
    </row>
    <row r="20" spans="1:9" x14ac:dyDescent="0.2">
      <c r="A20" s="103" t="s">
        <v>29</v>
      </c>
      <c r="B20" s="108" t="s">
        <v>53</v>
      </c>
      <c r="C20" s="102">
        <v>2541.67</v>
      </c>
      <c r="H20" s="102">
        <f t="shared" si="0"/>
        <v>2541.67</v>
      </c>
    </row>
    <row r="21" spans="1:9" x14ac:dyDescent="0.2">
      <c r="A21" s="103" t="s">
        <v>30</v>
      </c>
      <c r="B21" s="108" t="s">
        <v>54</v>
      </c>
      <c r="C21" s="102">
        <v>2541.67</v>
      </c>
      <c r="H21" s="102">
        <f t="shared" si="0"/>
        <v>2541.67</v>
      </c>
    </row>
    <row r="22" spans="1:9" x14ac:dyDescent="0.2">
      <c r="A22" s="103" t="s">
        <v>31</v>
      </c>
      <c r="B22" s="108" t="s">
        <v>55</v>
      </c>
      <c r="C22" s="102">
        <v>2541.67</v>
      </c>
      <c r="H22" s="102">
        <f t="shared" si="0"/>
        <v>2541.67</v>
      </c>
    </row>
    <row r="23" spans="1:9" x14ac:dyDescent="0.2">
      <c r="A23" s="103" t="s">
        <v>32</v>
      </c>
      <c r="B23" s="104">
        <v>10</v>
      </c>
      <c r="C23" s="102">
        <v>2541.67</v>
      </c>
      <c r="H23" s="102">
        <f t="shared" si="0"/>
        <v>2541.67</v>
      </c>
    </row>
    <row r="24" spans="1:9" x14ac:dyDescent="0.2">
      <c r="A24" s="103" t="s">
        <v>33</v>
      </c>
      <c r="B24" s="104">
        <v>11</v>
      </c>
      <c r="C24" s="102">
        <v>2541.67</v>
      </c>
      <c r="H24" s="102">
        <f t="shared" si="0"/>
        <v>2541.67</v>
      </c>
    </row>
    <row r="25" spans="1:9" x14ac:dyDescent="0.2">
      <c r="A25" s="103" t="s">
        <v>34</v>
      </c>
      <c r="B25" s="104">
        <v>12</v>
      </c>
      <c r="C25" s="102">
        <v>2541.67</v>
      </c>
      <c r="H25" s="102">
        <f t="shared" ref="H25" si="1">SUM(C25:G25)</f>
        <v>2541.67</v>
      </c>
    </row>
    <row r="27" spans="1:9" x14ac:dyDescent="0.2">
      <c r="A27" s="99" t="s">
        <v>61</v>
      </c>
      <c r="B27" s="100">
        <v>24</v>
      </c>
      <c r="C27" s="102">
        <f t="shared" ref="C27:H27" si="2">SUM(C2:C25)</f>
        <v>61000.079999999973</v>
      </c>
      <c r="D27" s="102">
        <f t="shared" si="2"/>
        <v>0</v>
      </c>
      <c r="E27" s="102">
        <f t="shared" si="2"/>
        <v>0</v>
      </c>
      <c r="F27" s="102">
        <f t="shared" si="2"/>
        <v>0</v>
      </c>
      <c r="G27" s="102">
        <f t="shared" si="2"/>
        <v>0</v>
      </c>
      <c r="H27" s="102">
        <f t="shared" si="2"/>
        <v>61000.079999999973</v>
      </c>
    </row>
    <row r="28" spans="1:9" x14ac:dyDescent="0.2">
      <c r="H28" s="102">
        <f>SUM(C27:G27)</f>
        <v>61000.079999999973</v>
      </c>
      <c r="I28" s="102">
        <f>K2-H28</f>
        <v>-7.9999999972642399E-2</v>
      </c>
    </row>
    <row r="29" spans="1:9" x14ac:dyDescent="0.2">
      <c r="H29" s="102">
        <f>H27-H28</f>
        <v>0</v>
      </c>
    </row>
  </sheetData>
  <phoneticPr fontId="6" type="noConversion"/>
  <pageMargins left="0.75" right="0.75" top="1" bottom="1" header="0.5" footer="0.5"/>
  <pageSetup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7"/>
    <pageSetUpPr fitToPage="1"/>
  </sheetPr>
  <dimension ref="A1:AC40"/>
  <sheetViews>
    <sheetView topLeftCell="O1" workbookViewId="0">
      <selection activeCell="AD6" sqref="AD6"/>
    </sheetView>
  </sheetViews>
  <sheetFormatPr defaultColWidth="9.140625" defaultRowHeight="12.75" x14ac:dyDescent="0.2"/>
  <cols>
    <col min="1" max="1" width="26" style="298" customWidth="1"/>
    <col min="2" max="14" width="10.5703125" style="298" hidden="1" customWidth="1"/>
    <col min="15" max="24" width="10.5703125" style="298" customWidth="1"/>
    <col min="25" max="28" width="14" style="298" customWidth="1"/>
    <col min="29" max="29" width="9.140625" style="297"/>
    <col min="30" max="260" width="9.140625" style="298"/>
    <col min="261" max="261" width="26" style="298" customWidth="1"/>
    <col min="262" max="273" width="0" style="298" hidden="1" customWidth="1"/>
    <col min="274" max="284" width="10.5703125" style="298" customWidth="1"/>
    <col min="285" max="516" width="9.140625" style="298"/>
    <col min="517" max="517" width="26" style="298" customWidth="1"/>
    <col min="518" max="529" width="0" style="298" hidden="1" customWidth="1"/>
    <col min="530" max="540" width="10.5703125" style="298" customWidth="1"/>
    <col min="541" max="772" width="9.140625" style="298"/>
    <col min="773" max="773" width="26" style="298" customWidth="1"/>
    <col min="774" max="785" width="0" style="298" hidden="1" customWidth="1"/>
    <col min="786" max="796" width="10.5703125" style="298" customWidth="1"/>
    <col min="797" max="1028" width="9.140625" style="298"/>
    <col min="1029" max="1029" width="26" style="298" customWidth="1"/>
    <col min="1030" max="1041" width="0" style="298" hidden="1" customWidth="1"/>
    <col min="1042" max="1052" width="10.5703125" style="298" customWidth="1"/>
    <col min="1053" max="1284" width="9.140625" style="298"/>
    <col min="1285" max="1285" width="26" style="298" customWidth="1"/>
    <col min="1286" max="1297" width="0" style="298" hidden="1" customWidth="1"/>
    <col min="1298" max="1308" width="10.5703125" style="298" customWidth="1"/>
    <col min="1309" max="1540" width="9.140625" style="298"/>
    <col min="1541" max="1541" width="26" style="298" customWidth="1"/>
    <col min="1542" max="1553" width="0" style="298" hidden="1" customWidth="1"/>
    <col min="1554" max="1564" width="10.5703125" style="298" customWidth="1"/>
    <col min="1565" max="1796" width="9.140625" style="298"/>
    <col min="1797" max="1797" width="26" style="298" customWidth="1"/>
    <col min="1798" max="1809" width="0" style="298" hidden="1" customWidth="1"/>
    <col min="1810" max="1820" width="10.5703125" style="298" customWidth="1"/>
    <col min="1821" max="2052" width="9.140625" style="298"/>
    <col min="2053" max="2053" width="26" style="298" customWidth="1"/>
    <col min="2054" max="2065" width="0" style="298" hidden="1" customWidth="1"/>
    <col min="2066" max="2076" width="10.5703125" style="298" customWidth="1"/>
    <col min="2077" max="2308" width="9.140625" style="298"/>
    <col min="2309" max="2309" width="26" style="298" customWidth="1"/>
    <col min="2310" max="2321" width="0" style="298" hidden="1" customWidth="1"/>
    <col min="2322" max="2332" width="10.5703125" style="298" customWidth="1"/>
    <col min="2333" max="2564" width="9.140625" style="298"/>
    <col min="2565" max="2565" width="26" style="298" customWidth="1"/>
    <col min="2566" max="2577" width="0" style="298" hidden="1" customWidth="1"/>
    <col min="2578" max="2588" width="10.5703125" style="298" customWidth="1"/>
    <col min="2589" max="2820" width="9.140625" style="298"/>
    <col min="2821" max="2821" width="26" style="298" customWidth="1"/>
    <col min="2822" max="2833" width="0" style="298" hidden="1" customWidth="1"/>
    <col min="2834" max="2844" width="10.5703125" style="298" customWidth="1"/>
    <col min="2845" max="3076" width="9.140625" style="298"/>
    <col min="3077" max="3077" width="26" style="298" customWidth="1"/>
    <col min="3078" max="3089" width="0" style="298" hidden="1" customWidth="1"/>
    <col min="3090" max="3100" width="10.5703125" style="298" customWidth="1"/>
    <col min="3101" max="3332" width="9.140625" style="298"/>
    <col min="3333" max="3333" width="26" style="298" customWidth="1"/>
    <col min="3334" max="3345" width="0" style="298" hidden="1" customWidth="1"/>
    <col min="3346" max="3356" width="10.5703125" style="298" customWidth="1"/>
    <col min="3357" max="3588" width="9.140625" style="298"/>
    <col min="3589" max="3589" width="26" style="298" customWidth="1"/>
    <col min="3590" max="3601" width="0" style="298" hidden="1" customWidth="1"/>
    <col min="3602" max="3612" width="10.5703125" style="298" customWidth="1"/>
    <col min="3613" max="3844" width="9.140625" style="298"/>
    <col min="3845" max="3845" width="26" style="298" customWidth="1"/>
    <col min="3846" max="3857" width="0" style="298" hidden="1" customWidth="1"/>
    <col min="3858" max="3868" width="10.5703125" style="298" customWidth="1"/>
    <col min="3869" max="4100" width="9.140625" style="298"/>
    <col min="4101" max="4101" width="26" style="298" customWidth="1"/>
    <col min="4102" max="4113" width="0" style="298" hidden="1" customWidth="1"/>
    <col min="4114" max="4124" width="10.5703125" style="298" customWidth="1"/>
    <col min="4125" max="4356" width="9.140625" style="298"/>
    <col min="4357" max="4357" width="26" style="298" customWidth="1"/>
    <col min="4358" max="4369" width="0" style="298" hidden="1" customWidth="1"/>
    <col min="4370" max="4380" width="10.5703125" style="298" customWidth="1"/>
    <col min="4381" max="4612" width="9.140625" style="298"/>
    <col min="4613" max="4613" width="26" style="298" customWidth="1"/>
    <col min="4614" max="4625" width="0" style="298" hidden="1" customWidth="1"/>
    <col min="4626" max="4636" width="10.5703125" style="298" customWidth="1"/>
    <col min="4637" max="4868" width="9.140625" style="298"/>
    <col min="4869" max="4869" width="26" style="298" customWidth="1"/>
    <col min="4870" max="4881" width="0" style="298" hidden="1" customWidth="1"/>
    <col min="4882" max="4892" width="10.5703125" style="298" customWidth="1"/>
    <col min="4893" max="5124" width="9.140625" style="298"/>
    <col min="5125" max="5125" width="26" style="298" customWidth="1"/>
    <col min="5126" max="5137" width="0" style="298" hidden="1" customWidth="1"/>
    <col min="5138" max="5148" width="10.5703125" style="298" customWidth="1"/>
    <col min="5149" max="5380" width="9.140625" style="298"/>
    <col min="5381" max="5381" width="26" style="298" customWidth="1"/>
    <col min="5382" max="5393" width="0" style="298" hidden="1" customWidth="1"/>
    <col min="5394" max="5404" width="10.5703125" style="298" customWidth="1"/>
    <col min="5405" max="5636" width="9.140625" style="298"/>
    <col min="5637" max="5637" width="26" style="298" customWidth="1"/>
    <col min="5638" max="5649" width="0" style="298" hidden="1" customWidth="1"/>
    <col min="5650" max="5660" width="10.5703125" style="298" customWidth="1"/>
    <col min="5661" max="5892" width="9.140625" style="298"/>
    <col min="5893" max="5893" width="26" style="298" customWidth="1"/>
    <col min="5894" max="5905" width="0" style="298" hidden="1" customWidth="1"/>
    <col min="5906" max="5916" width="10.5703125" style="298" customWidth="1"/>
    <col min="5917" max="6148" width="9.140625" style="298"/>
    <col min="6149" max="6149" width="26" style="298" customWidth="1"/>
    <col min="6150" max="6161" width="0" style="298" hidden="1" customWidth="1"/>
    <col min="6162" max="6172" width="10.5703125" style="298" customWidth="1"/>
    <col min="6173" max="6404" width="9.140625" style="298"/>
    <col min="6405" max="6405" width="26" style="298" customWidth="1"/>
    <col min="6406" max="6417" width="0" style="298" hidden="1" customWidth="1"/>
    <col min="6418" max="6428" width="10.5703125" style="298" customWidth="1"/>
    <col min="6429" max="6660" width="9.140625" style="298"/>
    <col min="6661" max="6661" width="26" style="298" customWidth="1"/>
    <col min="6662" max="6673" width="0" style="298" hidden="1" customWidth="1"/>
    <col min="6674" max="6684" width="10.5703125" style="298" customWidth="1"/>
    <col min="6685" max="6916" width="9.140625" style="298"/>
    <col min="6917" max="6917" width="26" style="298" customWidth="1"/>
    <col min="6918" max="6929" width="0" style="298" hidden="1" customWidth="1"/>
    <col min="6930" max="6940" width="10.5703125" style="298" customWidth="1"/>
    <col min="6941" max="7172" width="9.140625" style="298"/>
    <col min="7173" max="7173" width="26" style="298" customWidth="1"/>
    <col min="7174" max="7185" width="0" style="298" hidden="1" customWidth="1"/>
    <col min="7186" max="7196" width="10.5703125" style="298" customWidth="1"/>
    <col min="7197" max="7428" width="9.140625" style="298"/>
    <col min="7429" max="7429" width="26" style="298" customWidth="1"/>
    <col min="7430" max="7441" width="0" style="298" hidden="1" customWidth="1"/>
    <col min="7442" max="7452" width="10.5703125" style="298" customWidth="1"/>
    <col min="7453" max="7684" width="9.140625" style="298"/>
    <col min="7685" max="7685" width="26" style="298" customWidth="1"/>
    <col min="7686" max="7697" width="0" style="298" hidden="1" customWidth="1"/>
    <col min="7698" max="7708" width="10.5703125" style="298" customWidth="1"/>
    <col min="7709" max="7940" width="9.140625" style="298"/>
    <col min="7941" max="7941" width="26" style="298" customWidth="1"/>
    <col min="7942" max="7953" width="0" style="298" hidden="1" customWidth="1"/>
    <col min="7954" max="7964" width="10.5703125" style="298" customWidth="1"/>
    <col min="7965" max="8196" width="9.140625" style="298"/>
    <col min="8197" max="8197" width="26" style="298" customWidth="1"/>
    <col min="8198" max="8209" width="0" style="298" hidden="1" customWidth="1"/>
    <col min="8210" max="8220" width="10.5703125" style="298" customWidth="1"/>
    <col min="8221" max="8452" width="9.140625" style="298"/>
    <col min="8453" max="8453" width="26" style="298" customWidth="1"/>
    <col min="8454" max="8465" width="0" style="298" hidden="1" customWidth="1"/>
    <col min="8466" max="8476" width="10.5703125" style="298" customWidth="1"/>
    <col min="8477" max="8708" width="9.140625" style="298"/>
    <col min="8709" max="8709" width="26" style="298" customWidth="1"/>
    <col min="8710" max="8721" width="0" style="298" hidden="1" customWidth="1"/>
    <col min="8722" max="8732" width="10.5703125" style="298" customWidth="1"/>
    <col min="8733" max="8964" width="9.140625" style="298"/>
    <col min="8965" max="8965" width="26" style="298" customWidth="1"/>
    <col min="8966" max="8977" width="0" style="298" hidden="1" customWidth="1"/>
    <col min="8978" max="8988" width="10.5703125" style="298" customWidth="1"/>
    <col min="8989" max="9220" width="9.140625" style="298"/>
    <col min="9221" max="9221" width="26" style="298" customWidth="1"/>
    <col min="9222" max="9233" width="0" style="298" hidden="1" customWidth="1"/>
    <col min="9234" max="9244" width="10.5703125" style="298" customWidth="1"/>
    <col min="9245" max="9476" width="9.140625" style="298"/>
    <col min="9477" max="9477" width="26" style="298" customWidth="1"/>
    <col min="9478" max="9489" width="0" style="298" hidden="1" customWidth="1"/>
    <col min="9490" max="9500" width="10.5703125" style="298" customWidth="1"/>
    <col min="9501" max="9732" width="9.140625" style="298"/>
    <col min="9733" max="9733" width="26" style="298" customWidth="1"/>
    <col min="9734" max="9745" width="0" style="298" hidden="1" customWidth="1"/>
    <col min="9746" max="9756" width="10.5703125" style="298" customWidth="1"/>
    <col min="9757" max="9988" width="9.140625" style="298"/>
    <col min="9989" max="9989" width="26" style="298" customWidth="1"/>
    <col min="9990" max="10001" width="0" style="298" hidden="1" customWidth="1"/>
    <col min="10002" max="10012" width="10.5703125" style="298" customWidth="1"/>
    <col min="10013" max="10244" width="9.140625" style="298"/>
    <col min="10245" max="10245" width="26" style="298" customWidth="1"/>
    <col min="10246" max="10257" width="0" style="298" hidden="1" customWidth="1"/>
    <col min="10258" max="10268" width="10.5703125" style="298" customWidth="1"/>
    <col min="10269" max="10500" width="9.140625" style="298"/>
    <col min="10501" max="10501" width="26" style="298" customWidth="1"/>
    <col min="10502" max="10513" width="0" style="298" hidden="1" customWidth="1"/>
    <col min="10514" max="10524" width="10.5703125" style="298" customWidth="1"/>
    <col min="10525" max="10756" width="9.140625" style="298"/>
    <col min="10757" max="10757" width="26" style="298" customWidth="1"/>
    <col min="10758" max="10769" width="0" style="298" hidden="1" customWidth="1"/>
    <col min="10770" max="10780" width="10.5703125" style="298" customWidth="1"/>
    <col min="10781" max="11012" width="9.140625" style="298"/>
    <col min="11013" max="11013" width="26" style="298" customWidth="1"/>
    <col min="11014" max="11025" width="0" style="298" hidden="1" customWidth="1"/>
    <col min="11026" max="11036" width="10.5703125" style="298" customWidth="1"/>
    <col min="11037" max="11268" width="9.140625" style="298"/>
    <col min="11269" max="11269" width="26" style="298" customWidth="1"/>
    <col min="11270" max="11281" width="0" style="298" hidden="1" customWidth="1"/>
    <col min="11282" max="11292" width="10.5703125" style="298" customWidth="1"/>
    <col min="11293" max="11524" width="9.140625" style="298"/>
    <col min="11525" max="11525" width="26" style="298" customWidth="1"/>
    <col min="11526" max="11537" width="0" style="298" hidden="1" customWidth="1"/>
    <col min="11538" max="11548" width="10.5703125" style="298" customWidth="1"/>
    <col min="11549" max="11780" width="9.140625" style="298"/>
    <col min="11781" max="11781" width="26" style="298" customWidth="1"/>
    <col min="11782" max="11793" width="0" style="298" hidden="1" customWidth="1"/>
    <col min="11794" max="11804" width="10.5703125" style="298" customWidth="1"/>
    <col min="11805" max="12036" width="9.140625" style="298"/>
    <col min="12037" max="12037" width="26" style="298" customWidth="1"/>
    <col min="12038" max="12049" width="0" style="298" hidden="1" customWidth="1"/>
    <col min="12050" max="12060" width="10.5703125" style="298" customWidth="1"/>
    <col min="12061" max="12292" width="9.140625" style="298"/>
    <col min="12293" max="12293" width="26" style="298" customWidth="1"/>
    <col min="12294" max="12305" width="0" style="298" hidden="1" customWidth="1"/>
    <col min="12306" max="12316" width="10.5703125" style="298" customWidth="1"/>
    <col min="12317" max="12548" width="9.140625" style="298"/>
    <col min="12549" max="12549" width="26" style="298" customWidth="1"/>
    <col min="12550" max="12561" width="0" style="298" hidden="1" customWidth="1"/>
    <col min="12562" max="12572" width="10.5703125" style="298" customWidth="1"/>
    <col min="12573" max="12804" width="9.140625" style="298"/>
    <col min="12805" max="12805" width="26" style="298" customWidth="1"/>
    <col min="12806" max="12817" width="0" style="298" hidden="1" customWidth="1"/>
    <col min="12818" max="12828" width="10.5703125" style="298" customWidth="1"/>
    <col min="12829" max="13060" width="9.140625" style="298"/>
    <col min="13061" max="13061" width="26" style="298" customWidth="1"/>
    <col min="13062" max="13073" width="0" style="298" hidden="1" customWidth="1"/>
    <col min="13074" max="13084" width="10.5703125" style="298" customWidth="1"/>
    <col min="13085" max="13316" width="9.140625" style="298"/>
    <col min="13317" max="13317" width="26" style="298" customWidth="1"/>
    <col min="13318" max="13329" width="0" style="298" hidden="1" customWidth="1"/>
    <col min="13330" max="13340" width="10.5703125" style="298" customWidth="1"/>
    <col min="13341" max="13572" width="9.140625" style="298"/>
    <col min="13573" max="13573" width="26" style="298" customWidth="1"/>
    <col min="13574" max="13585" width="0" style="298" hidden="1" customWidth="1"/>
    <col min="13586" max="13596" width="10.5703125" style="298" customWidth="1"/>
    <col min="13597" max="13828" width="9.140625" style="298"/>
    <col min="13829" max="13829" width="26" style="298" customWidth="1"/>
    <col min="13830" max="13841" width="0" style="298" hidden="1" customWidth="1"/>
    <col min="13842" max="13852" width="10.5703125" style="298" customWidth="1"/>
    <col min="13853" max="14084" width="9.140625" style="298"/>
    <col min="14085" max="14085" width="26" style="298" customWidth="1"/>
    <col min="14086" max="14097" width="0" style="298" hidden="1" customWidth="1"/>
    <col min="14098" max="14108" width="10.5703125" style="298" customWidth="1"/>
    <col min="14109" max="14340" width="9.140625" style="298"/>
    <col min="14341" max="14341" width="26" style="298" customWidth="1"/>
    <col min="14342" max="14353" width="0" style="298" hidden="1" customWidth="1"/>
    <col min="14354" max="14364" width="10.5703125" style="298" customWidth="1"/>
    <col min="14365" max="14596" width="9.140625" style="298"/>
    <col min="14597" max="14597" width="26" style="298" customWidth="1"/>
    <col min="14598" max="14609" width="0" style="298" hidden="1" customWidth="1"/>
    <col min="14610" max="14620" width="10.5703125" style="298" customWidth="1"/>
    <col min="14621" max="14852" width="9.140625" style="298"/>
    <col min="14853" max="14853" width="26" style="298" customWidth="1"/>
    <col min="14854" max="14865" width="0" style="298" hidden="1" customWidth="1"/>
    <col min="14866" max="14876" width="10.5703125" style="298" customWidth="1"/>
    <col min="14877" max="15108" width="9.140625" style="298"/>
    <col min="15109" max="15109" width="26" style="298" customWidth="1"/>
    <col min="15110" max="15121" width="0" style="298" hidden="1" customWidth="1"/>
    <col min="15122" max="15132" width="10.5703125" style="298" customWidth="1"/>
    <col min="15133" max="15364" width="9.140625" style="298"/>
    <col min="15365" max="15365" width="26" style="298" customWidth="1"/>
    <col min="15366" max="15377" width="0" style="298" hidden="1" customWidth="1"/>
    <col min="15378" max="15388" width="10.5703125" style="298" customWidth="1"/>
    <col min="15389" max="15620" width="9.140625" style="298"/>
    <col min="15621" max="15621" width="26" style="298" customWidth="1"/>
    <col min="15622" max="15633" width="0" style="298" hidden="1" customWidth="1"/>
    <col min="15634" max="15644" width="10.5703125" style="298" customWidth="1"/>
    <col min="15645" max="15876" width="9.140625" style="298"/>
    <col min="15877" max="15877" width="26" style="298" customWidth="1"/>
    <col min="15878" max="15889" width="0" style="298" hidden="1" customWidth="1"/>
    <col min="15890" max="15900" width="10.5703125" style="298" customWidth="1"/>
    <col min="15901" max="16132" width="9.140625" style="298"/>
    <col min="16133" max="16133" width="26" style="298" customWidth="1"/>
    <col min="16134" max="16145" width="0" style="298" hidden="1" customWidth="1"/>
    <col min="16146" max="16156" width="10.5703125" style="298" customWidth="1"/>
    <col min="16157" max="16384" width="9.140625" style="298"/>
  </cols>
  <sheetData>
    <row r="1" spans="1:29" ht="15.75" x14ac:dyDescent="0.25">
      <c r="A1" s="381" t="s">
        <v>255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296"/>
      <c r="X1" s="296"/>
      <c r="Y1" s="354"/>
      <c r="Z1" s="356"/>
      <c r="AA1" s="356"/>
      <c r="AB1" s="371"/>
    </row>
    <row r="2" spans="1:29" ht="15" x14ac:dyDescent="0.25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</row>
    <row r="4" spans="1:29" s="300" customFormat="1" ht="38.25" x14ac:dyDescent="0.2">
      <c r="B4" s="300" t="s">
        <v>256</v>
      </c>
      <c r="C4" s="300" t="s">
        <v>257</v>
      </c>
      <c r="D4" s="300" t="s">
        <v>258</v>
      </c>
      <c r="E4" s="300" t="s">
        <v>259</v>
      </c>
      <c r="F4" s="300" t="s">
        <v>260</v>
      </c>
      <c r="G4" s="300" t="s">
        <v>261</v>
      </c>
      <c r="H4" s="300" t="s">
        <v>262</v>
      </c>
      <c r="I4" s="300" t="s">
        <v>263</v>
      </c>
      <c r="J4" s="300" t="s">
        <v>264</v>
      </c>
      <c r="K4" s="300" t="s">
        <v>265</v>
      </c>
      <c r="L4" s="300" t="s">
        <v>266</v>
      </c>
      <c r="M4" s="300" t="s">
        <v>267</v>
      </c>
      <c r="N4" s="300" t="s">
        <v>268</v>
      </c>
      <c r="O4" s="300" t="s">
        <v>269</v>
      </c>
      <c r="P4" s="300" t="s">
        <v>270</v>
      </c>
      <c r="Q4" s="300" t="s">
        <v>271</v>
      </c>
      <c r="R4" s="300" t="s">
        <v>272</v>
      </c>
      <c r="S4" s="300" t="s">
        <v>273</v>
      </c>
      <c r="T4" s="300" t="s">
        <v>274</v>
      </c>
      <c r="U4" s="301" t="s">
        <v>275</v>
      </c>
      <c r="V4" s="301" t="s">
        <v>276</v>
      </c>
      <c r="W4" s="300" t="s">
        <v>277</v>
      </c>
      <c r="X4" s="300" t="s">
        <v>278</v>
      </c>
      <c r="Y4" s="300" t="s">
        <v>306</v>
      </c>
      <c r="Z4" s="300" t="s">
        <v>312</v>
      </c>
      <c r="AA4" s="300" t="s">
        <v>331</v>
      </c>
      <c r="AB4" s="300" t="s">
        <v>352</v>
      </c>
      <c r="AC4" s="302"/>
    </row>
    <row r="5" spans="1:29" s="303" customFormat="1" ht="11.25" x14ac:dyDescent="0.2">
      <c r="U5" s="304" t="s">
        <v>279</v>
      </c>
      <c r="V5" s="304" t="s">
        <v>279</v>
      </c>
      <c r="W5" s="304" t="s">
        <v>280</v>
      </c>
      <c r="X5" s="304" t="s">
        <v>281</v>
      </c>
      <c r="Y5" s="304"/>
      <c r="Z5" s="304" t="s">
        <v>324</v>
      </c>
      <c r="AA5" s="304" t="s">
        <v>340</v>
      </c>
      <c r="AB5" s="304" t="s">
        <v>354</v>
      </c>
      <c r="AC5" s="305"/>
    </row>
    <row r="6" spans="1:29" x14ac:dyDescent="0.2"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06"/>
      <c r="X6" s="306"/>
      <c r="Y6" s="355"/>
      <c r="Z6" s="357"/>
      <c r="AA6" s="357"/>
      <c r="AB6" s="372"/>
    </row>
    <row r="7" spans="1:29" s="307" customFormat="1" x14ac:dyDescent="0.2">
      <c r="A7" s="373" t="s">
        <v>348</v>
      </c>
      <c r="B7" s="307">
        <v>0.10829999999999999</v>
      </c>
      <c r="C7" s="307">
        <v>0.10100000000000001</v>
      </c>
      <c r="D7" s="307">
        <v>8.8300000000000003E-2</v>
      </c>
      <c r="E7" s="307">
        <f>0.1083-0.0282-0.0016-0.0072</f>
        <v>7.1299999999999988E-2</v>
      </c>
      <c r="F7" s="307">
        <v>0.05</v>
      </c>
      <c r="G7" s="307">
        <v>3.0300000000000001E-2</v>
      </c>
      <c r="H7" s="307">
        <v>3.4200000000000001E-2</v>
      </c>
      <c r="I7" s="308">
        <v>5.815E-2</v>
      </c>
      <c r="J7" s="307">
        <v>6.8199999999999997E-2</v>
      </c>
      <c r="K7" s="309">
        <f>'[1]TSERS detail'!L29</f>
        <v>2.6600000000000006E-2</v>
      </c>
      <c r="L7" s="307">
        <v>7.8299999999999995E-2</v>
      </c>
      <c r="M7" s="309">
        <v>8.14E-2</v>
      </c>
      <c r="N7" s="307">
        <v>8.7499999999999994E-2</v>
      </c>
      <c r="O7" s="309">
        <v>0.1051</v>
      </c>
      <c r="P7" s="307">
        <v>0.13120000000000001</v>
      </c>
      <c r="Q7" s="309">
        <v>0.14230000000000001</v>
      </c>
      <c r="R7" s="307">
        <v>0.1469</v>
      </c>
      <c r="S7" s="307">
        <v>0.15210000000000001</v>
      </c>
      <c r="T7" s="307">
        <v>0.1532</v>
      </c>
      <c r="U7" s="307">
        <v>0.16120000000000001</v>
      </c>
      <c r="V7" s="307">
        <v>0.16539999999999999</v>
      </c>
      <c r="W7" s="307">
        <v>0.17130000000000001</v>
      </c>
      <c r="X7" s="307">
        <v>0.18859999999999999</v>
      </c>
      <c r="Y7" s="307">
        <v>0.19700000000000001</v>
      </c>
      <c r="Z7" s="307">
        <v>0.21679999999999999</v>
      </c>
      <c r="AA7" s="307">
        <v>0.22889999999999999</v>
      </c>
      <c r="AB7" s="307">
        <v>0.245</v>
      </c>
      <c r="AC7" s="297"/>
    </row>
    <row r="8" spans="1:29" s="310" customFormat="1" x14ac:dyDescent="0.2">
      <c r="B8" s="311"/>
      <c r="C8" s="312">
        <f t="shared" ref="C8:Q8" si="0">(C7/B7)-1</f>
        <v>-6.7405355493998065E-2</v>
      </c>
      <c r="D8" s="312">
        <f t="shared" si="0"/>
        <v>-0.12574257425742574</v>
      </c>
      <c r="E8" s="312">
        <f t="shared" si="0"/>
        <v>-0.19252548131370339</v>
      </c>
      <c r="F8" s="312">
        <f t="shared" si="0"/>
        <v>-0.29873772791023823</v>
      </c>
      <c r="G8" s="312">
        <f t="shared" si="0"/>
        <v>-0.39400000000000002</v>
      </c>
      <c r="H8" s="312">
        <f t="shared" si="0"/>
        <v>0.12871287128712883</v>
      </c>
      <c r="I8" s="312">
        <f t="shared" si="0"/>
        <v>0.70029239766081863</v>
      </c>
      <c r="J8" s="312">
        <f t="shared" si="0"/>
        <v>0.17282889079965602</v>
      </c>
      <c r="K8" s="312">
        <f t="shared" si="0"/>
        <v>-0.60997067448680342</v>
      </c>
      <c r="L8" s="312">
        <f t="shared" si="0"/>
        <v>1.94360902255639</v>
      </c>
      <c r="M8" s="312">
        <f t="shared" si="0"/>
        <v>3.9591315453384457E-2</v>
      </c>
      <c r="N8" s="312">
        <f t="shared" si="0"/>
        <v>7.493857493857492E-2</v>
      </c>
      <c r="O8" s="312">
        <f t="shared" si="0"/>
        <v>0.20114285714285729</v>
      </c>
      <c r="P8" s="312">
        <f t="shared" si="0"/>
        <v>0.24833491912464334</v>
      </c>
      <c r="Q8" s="312">
        <f t="shared" si="0"/>
        <v>8.4603658536585247E-2</v>
      </c>
      <c r="R8" s="312">
        <f>(R7/Q7)-1</f>
        <v>3.232607167955015E-2</v>
      </c>
      <c r="S8" s="312">
        <f>(S7/R7)-1</f>
        <v>3.539823008849563E-2</v>
      </c>
      <c r="T8" s="312">
        <f>(T7/S7)-1</f>
        <v>7.2320841551609671E-3</v>
      </c>
      <c r="U8" s="312">
        <f>(U7/S7)-1</f>
        <v>5.9829059829059839E-2</v>
      </c>
      <c r="V8" s="312">
        <f>(V7/T7)-1</f>
        <v>7.9634464751958234E-2</v>
      </c>
      <c r="W8" s="312">
        <f t="shared" ref="W8:AB8" si="1">(W7/V7)-1</f>
        <v>3.5671100362757002E-2</v>
      </c>
      <c r="X8" s="312">
        <f t="shared" si="1"/>
        <v>0.10099241097489764</v>
      </c>
      <c r="Y8" s="312">
        <f t="shared" si="1"/>
        <v>4.4538706256627814E-2</v>
      </c>
      <c r="Z8" s="312">
        <f t="shared" si="1"/>
        <v>0.10050761421319798</v>
      </c>
      <c r="AA8" s="312">
        <f t="shared" si="1"/>
        <v>5.5811808118081174E-2</v>
      </c>
      <c r="AB8" s="312">
        <f t="shared" si="1"/>
        <v>7.0336391437308965E-2</v>
      </c>
      <c r="AC8" s="313">
        <f>AVERAGE(P8:X8)</f>
        <v>7.6002444389234231E-2</v>
      </c>
    </row>
    <row r="9" spans="1:29" s="307" customFormat="1" x14ac:dyDescent="0.2">
      <c r="A9" s="373" t="s">
        <v>349</v>
      </c>
      <c r="B9" s="307">
        <v>9.3600000000000003E-2</v>
      </c>
      <c r="C9" s="307">
        <v>9.3600000000000003E-2</v>
      </c>
      <c r="D9" s="307">
        <v>7.3599999999999999E-2</v>
      </c>
      <c r="E9" s="307">
        <f>0.0936-0.0072</f>
        <v>8.6400000000000005E-2</v>
      </c>
      <c r="F9" s="307">
        <v>9.7100000000000006E-2</v>
      </c>
      <c r="G9" s="307">
        <v>9.7100000000000006E-2</v>
      </c>
      <c r="H9" s="307">
        <v>0.1004</v>
      </c>
      <c r="I9" s="308">
        <v>0.10485</v>
      </c>
      <c r="J9" s="307">
        <v>0.1116</v>
      </c>
      <c r="K9" s="309">
        <f>'[1]ORP detail'!L29</f>
        <v>0.11159999999999999</v>
      </c>
      <c r="L9" s="307">
        <v>0.11459999999999999</v>
      </c>
      <c r="M9" s="309">
        <v>0.11459999999999999</v>
      </c>
      <c r="N9" s="307">
        <v>0.1186</v>
      </c>
      <c r="O9" s="309">
        <v>0.1226</v>
      </c>
      <c r="P9" s="307">
        <v>0.1236</v>
      </c>
      <c r="Q9" s="309">
        <v>0.1258</v>
      </c>
      <c r="R9" s="307">
        <v>0.1268</v>
      </c>
      <c r="S9" s="307">
        <v>0.12740000000000001</v>
      </c>
      <c r="T9" s="307">
        <v>0.1285</v>
      </c>
      <c r="U9" s="307">
        <v>0.12820000000000001</v>
      </c>
      <c r="V9" s="307">
        <v>0.13239999999999999</v>
      </c>
      <c r="W9" s="307">
        <v>0.1303</v>
      </c>
      <c r="X9" s="307">
        <v>0.13250000000000001</v>
      </c>
      <c r="Y9" s="307">
        <v>0.1341</v>
      </c>
      <c r="Z9" s="307">
        <v>0.1361</v>
      </c>
      <c r="AA9" s="307">
        <v>0.13220000000000001</v>
      </c>
      <c r="AB9" s="307">
        <v>0.13830000000000001</v>
      </c>
      <c r="AC9" s="297"/>
    </row>
    <row r="10" spans="1:29" s="310" customFormat="1" x14ac:dyDescent="0.2">
      <c r="B10" s="311"/>
      <c r="C10" s="312">
        <f>(C9/B9)-1</f>
        <v>0</v>
      </c>
      <c r="D10" s="312">
        <f>(D9/C9)-1</f>
        <v>-0.21367521367521369</v>
      </c>
      <c r="E10" s="312">
        <f>(E9/D9)-1</f>
        <v>0.17391304347826098</v>
      </c>
      <c r="F10" s="312">
        <f>(F9/E9)-1</f>
        <v>0.12384259259259256</v>
      </c>
      <c r="G10" s="312">
        <f t="shared" ref="G10:S10" si="2">(G9/F9)-1</f>
        <v>0</v>
      </c>
      <c r="H10" s="312">
        <f t="shared" si="2"/>
        <v>3.3985581874356408E-2</v>
      </c>
      <c r="I10" s="312">
        <f t="shared" si="2"/>
        <v>4.4322709163346463E-2</v>
      </c>
      <c r="J10" s="312">
        <f t="shared" si="2"/>
        <v>6.4377682403433445E-2</v>
      </c>
      <c r="K10" s="312">
        <f t="shared" si="2"/>
        <v>0</v>
      </c>
      <c r="L10" s="312">
        <f t="shared" si="2"/>
        <v>2.6881720430107503E-2</v>
      </c>
      <c r="M10" s="312">
        <f t="shared" si="2"/>
        <v>0</v>
      </c>
      <c r="N10" s="312">
        <f t="shared" si="2"/>
        <v>3.4904013961605695E-2</v>
      </c>
      <c r="O10" s="312">
        <f t="shared" si="2"/>
        <v>3.3726812816188945E-2</v>
      </c>
      <c r="P10" s="312">
        <f t="shared" si="2"/>
        <v>8.1566068515497303E-3</v>
      </c>
      <c r="Q10" s="312">
        <f t="shared" si="2"/>
        <v>1.7799352750808906E-2</v>
      </c>
      <c r="R10" s="312">
        <f t="shared" si="2"/>
        <v>7.9491255961843255E-3</v>
      </c>
      <c r="S10" s="312">
        <f t="shared" si="2"/>
        <v>4.731861198738363E-3</v>
      </c>
      <c r="T10" s="312">
        <f>(T9/S9)-1</f>
        <v>8.6342229199372067E-3</v>
      </c>
      <c r="U10" s="312">
        <f>(U9/S9)-1</f>
        <v>6.2794348508634634E-3</v>
      </c>
      <c r="V10" s="312">
        <f>(V9/T9)-1</f>
        <v>3.0350194552529075E-2</v>
      </c>
      <c r="W10" s="312">
        <f>(W9/V9)-1</f>
        <v>-1.5861027190332222E-2</v>
      </c>
      <c r="X10" s="312">
        <f>(X9/W9)-1</f>
        <v>1.6884113584036964E-2</v>
      </c>
      <c r="Y10" s="312">
        <f>(Y9/X9)-1</f>
        <v>1.2075471698113072E-2</v>
      </c>
      <c r="Z10" s="312">
        <f>(Z9/Y9)-1</f>
        <v>1.4914243102162494E-2</v>
      </c>
      <c r="AA10" s="312">
        <f t="shared" ref="AA10:AB10" si="3">(AA9/Z9)-1</f>
        <v>-2.8655400440852241E-2</v>
      </c>
      <c r="AB10" s="312">
        <f t="shared" si="3"/>
        <v>4.614220877458397E-2</v>
      </c>
      <c r="AC10" s="313">
        <f>AVERAGE(P10:X10)</f>
        <v>9.4359872349239794E-3</v>
      </c>
    </row>
    <row r="11" spans="1:29" s="307" customFormat="1" ht="24.75" x14ac:dyDescent="0.2">
      <c r="A11" s="374" t="s">
        <v>350</v>
      </c>
      <c r="B11" s="307">
        <v>0.1583</v>
      </c>
      <c r="C11" s="307">
        <v>0.151</v>
      </c>
      <c r="D11" s="307">
        <v>0.13830000000000001</v>
      </c>
      <c r="E11" s="307">
        <f>0.1583-0.0282-0.0016-0.0072</f>
        <v>0.12130000000000001</v>
      </c>
      <c r="F11" s="307">
        <v>0.1</v>
      </c>
      <c r="G11" s="307">
        <v>8.0299999999999996E-2</v>
      </c>
      <c r="H11" s="307">
        <v>8.4199999999999997E-2</v>
      </c>
      <c r="I11" s="308">
        <v>0.10815</v>
      </c>
      <c r="J11" s="307">
        <v>0.1182</v>
      </c>
      <c r="K11" s="309">
        <f>'[1]LEOB detail'!L29</f>
        <v>0.12139999999999998</v>
      </c>
      <c r="L11" s="307">
        <v>0.1283</v>
      </c>
      <c r="M11" s="309">
        <v>0.13139999999999999</v>
      </c>
      <c r="N11" s="307">
        <v>0.13750000000000001</v>
      </c>
      <c r="O11" s="309">
        <v>0.15509999999999999</v>
      </c>
      <c r="P11" s="307">
        <v>0.1812</v>
      </c>
      <c r="Q11" s="309">
        <v>0.1923</v>
      </c>
      <c r="R11" s="307">
        <v>0.19689999999999999</v>
      </c>
      <c r="S11" s="307">
        <v>0.2021</v>
      </c>
      <c r="T11" s="307">
        <v>0.20319999999999999</v>
      </c>
      <c r="U11" s="307">
        <f>0.1612+0.05</f>
        <v>0.2112</v>
      </c>
      <c r="V11" s="307">
        <f>0.1654+0.05</f>
        <v>0.21539999999999998</v>
      </c>
      <c r="W11" s="307">
        <f>+W7+0.05</f>
        <v>0.2213</v>
      </c>
      <c r="X11" s="307">
        <f>+X7+0.05</f>
        <v>0.23859999999999998</v>
      </c>
      <c r="Y11" s="307">
        <v>0.247</v>
      </c>
      <c r="Z11" s="307">
        <v>0.26679999999999998</v>
      </c>
      <c r="AA11" s="307">
        <v>0.27889999999999998</v>
      </c>
      <c r="AB11" s="307">
        <v>0.29499999999999998</v>
      </c>
      <c r="AC11" s="297"/>
    </row>
    <row r="12" spans="1:29" s="310" customFormat="1" x14ac:dyDescent="0.2">
      <c r="A12" s="314"/>
      <c r="B12" s="311"/>
      <c r="C12" s="312">
        <f>(C11/B11)-1</f>
        <v>-4.6114971572962737E-2</v>
      </c>
      <c r="D12" s="312">
        <f>(D11/C11)-1</f>
        <v>-8.4105960264900581E-2</v>
      </c>
      <c r="E12" s="312">
        <f>(E11/D11)-1</f>
        <v>-0.12292118582791034</v>
      </c>
      <c r="F12" s="312">
        <f>(F11/E11)-1</f>
        <v>-0.17559769167353667</v>
      </c>
      <c r="G12" s="312">
        <f t="shared" ref="G12:S12" si="4">(G11/F11)-1</f>
        <v>-0.19700000000000006</v>
      </c>
      <c r="H12" s="312">
        <f t="shared" si="4"/>
        <v>4.8567870485678677E-2</v>
      </c>
      <c r="I12" s="312">
        <f t="shared" si="4"/>
        <v>0.28444180522565321</v>
      </c>
      <c r="J12" s="312">
        <f t="shared" si="4"/>
        <v>9.2926490984743371E-2</v>
      </c>
      <c r="K12" s="312">
        <f t="shared" si="4"/>
        <v>2.7072758037224975E-2</v>
      </c>
      <c r="L12" s="312">
        <f t="shared" si="4"/>
        <v>5.6836902800659228E-2</v>
      </c>
      <c r="M12" s="312">
        <f t="shared" si="4"/>
        <v>2.4162120031176793E-2</v>
      </c>
      <c r="N12" s="312">
        <f t="shared" si="4"/>
        <v>4.6423135464231491E-2</v>
      </c>
      <c r="O12" s="312">
        <f t="shared" si="4"/>
        <v>0.12799999999999989</v>
      </c>
      <c r="P12" s="312">
        <f t="shared" si="4"/>
        <v>0.16827852998065773</v>
      </c>
      <c r="Q12" s="312">
        <f t="shared" si="4"/>
        <v>6.12582781456954E-2</v>
      </c>
      <c r="R12" s="312">
        <f t="shared" si="4"/>
        <v>2.3920956838273444E-2</v>
      </c>
      <c r="S12" s="312">
        <f t="shared" si="4"/>
        <v>2.6409344845099048E-2</v>
      </c>
      <c r="T12" s="312">
        <f>(T11/S11)-1</f>
        <v>5.4428500742207397E-3</v>
      </c>
      <c r="U12" s="312">
        <f>(U11/S11)-1</f>
        <v>4.502721425037115E-2</v>
      </c>
      <c r="V12" s="312">
        <f>(V11/T11)-1</f>
        <v>6.0039370078740051E-2</v>
      </c>
      <c r="W12" s="312">
        <f>(W11/V11)-1</f>
        <v>2.7390900649953753E-2</v>
      </c>
      <c r="X12" s="312">
        <f>(X11/W11)-1</f>
        <v>7.8174423859014741E-2</v>
      </c>
      <c r="Y12" s="312">
        <f>(Y11/X11)-1</f>
        <v>3.5205364626990754E-2</v>
      </c>
      <c r="Z12" s="312">
        <f>(Z11/Y11)-1</f>
        <v>8.0161943319837947E-2</v>
      </c>
      <c r="AA12" s="312">
        <f t="shared" ref="AA12:AB12" si="5">(AA11/Z11)-1</f>
        <v>4.5352323838080855E-2</v>
      </c>
      <c r="AB12" s="312">
        <f t="shared" si="5"/>
        <v>5.772678379347429E-2</v>
      </c>
      <c r="AC12" s="313">
        <f>AVERAGE(P12:X12)</f>
        <v>5.5104652080225115E-2</v>
      </c>
    </row>
    <row r="13" spans="1:29" s="315" customFormat="1" x14ac:dyDescent="0.2">
      <c r="I13" s="316"/>
      <c r="K13" s="316"/>
      <c r="M13" s="316"/>
      <c r="O13" s="316"/>
      <c r="Q13" s="316"/>
      <c r="S13" s="316"/>
      <c r="U13" s="316"/>
      <c r="V13" s="316"/>
      <c r="W13" s="316"/>
      <c r="X13" s="316"/>
      <c r="Y13" s="316"/>
      <c r="Z13" s="316"/>
      <c r="AA13" s="316"/>
      <c r="AB13" s="316"/>
      <c r="AC13" s="317"/>
    </row>
    <row r="14" spans="1:29" s="315" customFormat="1" x14ac:dyDescent="0.2">
      <c r="I14" s="316"/>
      <c r="K14" s="316"/>
      <c r="M14" s="316"/>
      <c r="O14" s="316"/>
      <c r="Q14" s="316"/>
      <c r="S14" s="316"/>
      <c r="U14" s="316"/>
      <c r="V14" s="316"/>
      <c r="W14" s="316"/>
      <c r="X14" s="316"/>
      <c r="Y14" s="316"/>
      <c r="Z14" s="316"/>
      <c r="AA14" s="316"/>
      <c r="AB14" s="316"/>
      <c r="AC14" s="317"/>
    </row>
    <row r="15" spans="1:29" s="319" customFormat="1" x14ac:dyDescent="0.2">
      <c r="A15" s="318" t="s">
        <v>282</v>
      </c>
      <c r="D15" s="320" t="s">
        <v>283</v>
      </c>
      <c r="E15" s="320" t="s">
        <v>284</v>
      </c>
      <c r="F15" s="321" t="s">
        <v>285</v>
      </c>
      <c r="G15" s="321">
        <v>37438</v>
      </c>
      <c r="H15" s="321">
        <v>37803</v>
      </c>
      <c r="I15" s="321">
        <v>38169</v>
      </c>
      <c r="J15" s="321">
        <v>38534</v>
      </c>
      <c r="K15" s="321">
        <v>38899</v>
      </c>
      <c r="L15" s="321">
        <v>39264</v>
      </c>
      <c r="M15" s="321">
        <v>39630</v>
      </c>
      <c r="N15" s="321">
        <v>39995</v>
      </c>
      <c r="O15" s="321">
        <v>40360</v>
      </c>
      <c r="P15" s="321">
        <v>40725</v>
      </c>
      <c r="Q15" s="321">
        <v>41091</v>
      </c>
      <c r="R15" s="321">
        <v>41456</v>
      </c>
      <c r="S15" s="321">
        <v>41821</v>
      </c>
      <c r="T15" s="321">
        <v>42186</v>
      </c>
      <c r="U15" s="321">
        <v>42552</v>
      </c>
      <c r="V15" s="321">
        <v>42736</v>
      </c>
      <c r="W15" s="321">
        <v>42917</v>
      </c>
      <c r="X15" s="321">
        <v>43282</v>
      </c>
      <c r="Y15" s="321">
        <v>43647</v>
      </c>
      <c r="Z15" s="321">
        <v>44013</v>
      </c>
      <c r="AA15" s="321">
        <v>44378</v>
      </c>
      <c r="AB15" s="321">
        <v>44743</v>
      </c>
      <c r="AC15" s="322"/>
    </row>
    <row r="16" spans="1:29" s="315" customFormat="1" x14ac:dyDescent="0.2">
      <c r="D16" s="323"/>
      <c r="AC16" s="317"/>
    </row>
    <row r="17" spans="1:29" s="315" customFormat="1" x14ac:dyDescent="0.2">
      <c r="D17" s="323"/>
      <c r="AC17" s="317"/>
    </row>
    <row r="18" spans="1:29" x14ac:dyDescent="0.2">
      <c r="D18" s="324"/>
    </row>
    <row r="19" spans="1:29" x14ac:dyDescent="0.2">
      <c r="D19" s="324"/>
    </row>
    <row r="21" spans="1:29" s="326" customFormat="1" x14ac:dyDescent="0.2">
      <c r="A21" s="375" t="s">
        <v>351</v>
      </c>
      <c r="B21" s="326">
        <v>1736</v>
      </c>
      <c r="C21" s="326">
        <v>1736</v>
      </c>
      <c r="D21" s="326">
        <v>2256</v>
      </c>
      <c r="E21" s="326">
        <v>2256</v>
      </c>
      <c r="F21" s="326">
        <v>2933</v>
      </c>
      <c r="G21" s="326">
        <v>2933</v>
      </c>
      <c r="H21" s="326">
        <v>3432</v>
      </c>
      <c r="I21" s="326">
        <v>3432</v>
      </c>
      <c r="J21" s="326">
        <v>3748</v>
      </c>
      <c r="K21" s="327">
        <v>3854</v>
      </c>
      <c r="L21" s="326">
        <v>4183</v>
      </c>
      <c r="M21" s="327">
        <v>4157</v>
      </c>
      <c r="N21" s="326">
        <v>4527</v>
      </c>
      <c r="O21" s="327">
        <v>4929</v>
      </c>
      <c r="P21" s="326">
        <v>4931</v>
      </c>
      <c r="Q21" s="327">
        <v>5192</v>
      </c>
      <c r="R21" s="326">
        <v>5285</v>
      </c>
      <c r="S21" s="327">
        <v>5378</v>
      </c>
      <c r="T21" s="326">
        <v>5471</v>
      </c>
      <c r="U21" s="327">
        <v>5471</v>
      </c>
      <c r="V21" s="327">
        <f>+T21</f>
        <v>5471</v>
      </c>
      <c r="W21" s="327">
        <v>5869</v>
      </c>
      <c r="X21" s="327">
        <v>6104</v>
      </c>
      <c r="Y21" s="327">
        <v>6306</v>
      </c>
      <c r="Z21" s="327">
        <v>6326</v>
      </c>
      <c r="AA21" s="327">
        <v>7019</v>
      </c>
      <c r="AB21" s="327">
        <v>7397</v>
      </c>
      <c r="AC21" s="297"/>
    </row>
    <row r="22" spans="1:29" s="326" customFormat="1" x14ac:dyDescent="0.2">
      <c r="A22" s="325"/>
      <c r="K22" s="327"/>
      <c r="L22" s="326">
        <v>4052</v>
      </c>
      <c r="M22" s="327"/>
      <c r="O22" s="327"/>
      <c r="Q22" s="327"/>
      <c r="S22" s="327"/>
      <c r="U22" s="327"/>
      <c r="V22" s="327"/>
      <c r="W22" s="327"/>
      <c r="X22" s="327"/>
      <c r="Y22" s="327"/>
      <c r="Z22" s="327"/>
      <c r="AA22" s="327"/>
      <c r="AB22" s="327"/>
      <c r="AC22" s="297"/>
    </row>
    <row r="23" spans="1:29" s="310" customFormat="1" x14ac:dyDescent="0.2">
      <c r="B23" s="311"/>
      <c r="C23" s="311"/>
      <c r="D23" s="312">
        <f t="shared" ref="D23:O23" si="6">(D21/C21)-1</f>
        <v>0.29953917050691237</v>
      </c>
      <c r="E23" s="312">
        <f t="shared" si="6"/>
        <v>0</v>
      </c>
      <c r="F23" s="312">
        <f t="shared" si="6"/>
        <v>0.30008865248226946</v>
      </c>
      <c r="G23" s="312">
        <f t="shared" si="6"/>
        <v>0</v>
      </c>
      <c r="H23" s="312">
        <f t="shared" si="6"/>
        <v>0.17013296965564262</v>
      </c>
      <c r="I23" s="312">
        <f t="shared" si="6"/>
        <v>0</v>
      </c>
      <c r="J23" s="312">
        <f t="shared" si="6"/>
        <v>9.207459207459201E-2</v>
      </c>
      <c r="K23" s="312">
        <f t="shared" si="6"/>
        <v>2.8281750266808903E-2</v>
      </c>
      <c r="L23" s="312">
        <f t="shared" si="6"/>
        <v>8.5365853658536661E-2</v>
      </c>
      <c r="M23" s="312">
        <f t="shared" si="6"/>
        <v>-6.2156347119292077E-3</v>
      </c>
      <c r="N23" s="312">
        <f t="shared" si="6"/>
        <v>8.9006495068558955E-2</v>
      </c>
      <c r="O23" s="312">
        <f t="shared" si="6"/>
        <v>8.8800530152418844E-2</v>
      </c>
      <c r="P23" s="312">
        <f>(P21/O21)-1</f>
        <v>4.0576181781304399E-4</v>
      </c>
      <c r="Q23" s="312">
        <f>(Q21/P21)-1</f>
        <v>5.2930440073007512E-2</v>
      </c>
      <c r="R23" s="312">
        <f>(R21/Q21)-1</f>
        <v>1.7912172573189444E-2</v>
      </c>
      <c r="S23" s="312">
        <f>(S21/R21)-1</f>
        <v>1.7596972563860058E-2</v>
      </c>
      <c r="T23" s="312">
        <f>(T21/S21)-1</f>
        <v>1.7292673856452279E-2</v>
      </c>
      <c r="U23" s="312">
        <f t="shared" ref="U23:Z23" si="7">(U21/S21)-1</f>
        <v>1.7292673856452279E-2</v>
      </c>
      <c r="V23" s="312">
        <f t="shared" si="7"/>
        <v>0</v>
      </c>
      <c r="W23" s="312">
        <f>(W21/U21)-1</f>
        <v>7.2747212575397624E-2</v>
      </c>
      <c r="X23" s="312">
        <f>(X21/V21)-1</f>
        <v>0.11570096874428804</v>
      </c>
      <c r="Y23" s="312">
        <f>(Y21/W21)-1</f>
        <v>7.4459021979894402E-2</v>
      </c>
      <c r="Z23" s="312">
        <f t="shared" si="7"/>
        <v>3.6369593709043357E-2</v>
      </c>
      <c r="AA23" s="312">
        <f>(AA21/Y21)-1</f>
        <v>0.11306692039327615</v>
      </c>
      <c r="AB23" s="312">
        <f t="shared" ref="AB23" si="8">(AB21/Z21)-1</f>
        <v>0.16930129623774892</v>
      </c>
      <c r="AC23" s="313">
        <f>AVERAGE(P23:X23)</f>
        <v>3.4653208451162251E-2</v>
      </c>
    </row>
    <row r="24" spans="1:29" s="310" customFormat="1" x14ac:dyDescent="0.2">
      <c r="B24" s="311"/>
      <c r="C24" s="311"/>
      <c r="D24" s="312"/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2"/>
      <c r="R24" s="312"/>
      <c r="S24" s="312"/>
      <c r="T24" s="312"/>
      <c r="U24" s="312"/>
      <c r="V24" s="312"/>
      <c r="W24" s="312"/>
      <c r="X24" s="312"/>
      <c r="Y24" s="312"/>
      <c r="Z24" s="312"/>
      <c r="AA24" s="312"/>
      <c r="AB24" s="312"/>
      <c r="AC24" s="297"/>
    </row>
    <row r="25" spans="1:29" s="310" customFormat="1" x14ac:dyDescent="0.2">
      <c r="A25" s="318" t="s">
        <v>282</v>
      </c>
      <c r="B25" s="311"/>
      <c r="C25" s="311"/>
      <c r="D25" s="383" t="s">
        <v>286</v>
      </c>
      <c r="E25" s="306" t="s">
        <v>287</v>
      </c>
      <c r="F25" s="383" t="s">
        <v>288</v>
      </c>
      <c r="G25" s="321">
        <v>37438</v>
      </c>
      <c r="H25" s="383" t="s">
        <v>289</v>
      </c>
      <c r="I25" s="321">
        <v>38169</v>
      </c>
      <c r="J25" s="383" t="s">
        <v>290</v>
      </c>
      <c r="K25" s="321">
        <v>38899</v>
      </c>
      <c r="L25" s="385" t="s">
        <v>291</v>
      </c>
      <c r="M25" s="321">
        <v>39630</v>
      </c>
      <c r="N25" s="321">
        <v>39995</v>
      </c>
      <c r="O25" s="321">
        <v>40360</v>
      </c>
      <c r="P25" s="321">
        <v>40725</v>
      </c>
      <c r="Q25" s="321">
        <v>41091</v>
      </c>
      <c r="R25" s="321">
        <v>41456</v>
      </c>
      <c r="S25" s="321">
        <v>41821</v>
      </c>
      <c r="T25" s="321">
        <v>42186</v>
      </c>
      <c r="U25" s="321">
        <f>+U15</f>
        <v>42552</v>
      </c>
      <c r="V25" s="321">
        <f t="shared" ref="V25:AB25" si="9">+V15</f>
        <v>42736</v>
      </c>
      <c r="W25" s="321">
        <f t="shared" si="9"/>
        <v>42917</v>
      </c>
      <c r="X25" s="321">
        <f t="shared" si="9"/>
        <v>43282</v>
      </c>
      <c r="Y25" s="321">
        <f t="shared" si="9"/>
        <v>43647</v>
      </c>
      <c r="Z25" s="321">
        <f t="shared" si="9"/>
        <v>44013</v>
      </c>
      <c r="AA25" s="321">
        <f t="shared" si="9"/>
        <v>44378</v>
      </c>
      <c r="AB25" s="321">
        <f t="shared" si="9"/>
        <v>44743</v>
      </c>
      <c r="AC25" s="297"/>
    </row>
    <row r="26" spans="1:29" ht="12.75" customHeight="1" x14ac:dyDescent="0.2">
      <c r="A26" s="310"/>
      <c r="B26" s="311"/>
      <c r="D26" s="384"/>
      <c r="E26" s="328"/>
      <c r="F26" s="384"/>
      <c r="G26" s="328"/>
      <c r="H26" s="384"/>
      <c r="I26" s="329"/>
      <c r="J26" s="384"/>
      <c r="K26" s="329"/>
      <c r="L26" s="386"/>
      <c r="M26" s="329"/>
      <c r="N26" s="329"/>
      <c r="O26" s="329"/>
      <c r="P26" s="329"/>
      <c r="Q26" s="329"/>
      <c r="R26" s="329"/>
      <c r="S26" s="329"/>
      <c r="T26" s="329"/>
      <c r="U26" s="329"/>
      <c r="V26" s="329"/>
      <c r="W26" s="329"/>
      <c r="X26" s="329"/>
      <c r="Y26" s="329"/>
      <c r="Z26" s="329"/>
      <c r="AA26" s="329"/>
      <c r="AB26" s="329"/>
    </row>
    <row r="27" spans="1:29" ht="12.75" customHeight="1" thickBot="1" x14ac:dyDescent="0.25">
      <c r="A27" s="310"/>
      <c r="B27" s="311"/>
      <c r="D27" s="384"/>
      <c r="E27" s="328"/>
      <c r="F27" s="384"/>
      <c r="G27" s="328"/>
      <c r="H27" s="384"/>
      <c r="I27" s="329"/>
      <c r="J27" s="384"/>
      <c r="K27" s="329"/>
      <c r="L27" s="386"/>
      <c r="M27" s="329"/>
      <c r="N27" s="329"/>
      <c r="O27" s="329"/>
      <c r="P27" s="329"/>
      <c r="Q27" s="329"/>
      <c r="R27" s="329"/>
      <c r="S27" s="329"/>
      <c r="T27" s="329"/>
      <c r="U27" s="329"/>
      <c r="V27" s="329"/>
      <c r="W27" s="329"/>
      <c r="X27" s="329"/>
      <c r="Y27" s="329"/>
      <c r="Z27" s="329"/>
      <c r="AA27" s="329"/>
      <c r="AB27" s="329"/>
    </row>
    <row r="28" spans="1:29" s="310" customFormat="1" ht="12.75" customHeight="1" x14ac:dyDescent="0.2">
      <c r="A28" s="330" t="s">
        <v>292</v>
      </c>
      <c r="B28" s="311"/>
      <c r="C28" s="311"/>
      <c r="D28" s="384"/>
      <c r="E28" s="328"/>
      <c r="F28" s="384"/>
      <c r="G28" s="328"/>
      <c r="H28" s="384"/>
      <c r="I28" s="329"/>
      <c r="J28" s="384"/>
      <c r="K28" s="329"/>
      <c r="L28" s="386"/>
      <c r="M28" s="329"/>
      <c r="N28" s="331">
        <v>70000</v>
      </c>
      <c r="O28" s="331">
        <v>70000</v>
      </c>
      <c r="P28" s="331">
        <v>70000</v>
      </c>
      <c r="Q28" s="331">
        <v>70000</v>
      </c>
      <c r="R28" s="331">
        <v>70000</v>
      </c>
      <c r="S28" s="331">
        <v>70000</v>
      </c>
      <c r="T28" s="331">
        <v>70000</v>
      </c>
      <c r="U28" s="331">
        <v>70000</v>
      </c>
      <c r="V28" s="331">
        <v>70000</v>
      </c>
      <c r="W28" s="331">
        <v>47500</v>
      </c>
      <c r="X28" s="331">
        <v>70000</v>
      </c>
      <c r="Y28" s="331">
        <v>70000</v>
      </c>
      <c r="Z28" s="331">
        <v>70000</v>
      </c>
      <c r="AA28" s="331">
        <v>70000</v>
      </c>
      <c r="AB28" s="331">
        <v>70000</v>
      </c>
      <c r="AC28" s="297"/>
    </row>
    <row r="29" spans="1:29" x14ac:dyDescent="0.2">
      <c r="A29" s="332" t="s">
        <v>293</v>
      </c>
      <c r="L29" s="379" t="s">
        <v>294</v>
      </c>
      <c r="N29" s="333">
        <f>+N$21/N28</f>
        <v>6.4671428571428574E-2</v>
      </c>
      <c r="O29" s="333">
        <f t="shared" ref="O29:W29" si="10">+O$21/O28</f>
        <v>7.0414285714285721E-2</v>
      </c>
      <c r="P29" s="333">
        <f t="shared" si="10"/>
        <v>7.044285714285714E-2</v>
      </c>
      <c r="Q29" s="333">
        <f t="shared" si="10"/>
        <v>7.4171428571428569E-2</v>
      </c>
      <c r="R29" s="333">
        <f t="shared" si="10"/>
        <v>7.5499999999999998E-2</v>
      </c>
      <c r="S29" s="333">
        <f t="shared" si="10"/>
        <v>7.6828571428571427E-2</v>
      </c>
      <c r="T29" s="333">
        <f t="shared" si="10"/>
        <v>7.8157142857142856E-2</v>
      </c>
      <c r="U29" s="333">
        <f t="shared" si="10"/>
        <v>7.8157142857142856E-2</v>
      </c>
      <c r="V29" s="333">
        <f t="shared" si="10"/>
        <v>7.8157142857142856E-2</v>
      </c>
      <c r="W29" s="333">
        <f t="shared" si="10"/>
        <v>0.1235578947368421</v>
      </c>
      <c r="X29" s="333">
        <f>+X$21/X28</f>
        <v>8.72E-2</v>
      </c>
      <c r="Y29" s="333">
        <f t="shared" ref="Y29" si="11">+Y$21/Y28</f>
        <v>9.0085714285714283E-2</v>
      </c>
      <c r="Z29" s="333">
        <f>+Z$21/Z28</f>
        <v>9.0371428571428575E-2</v>
      </c>
      <c r="AA29" s="333">
        <f>+AA$21/AA28</f>
        <v>0.10027142857142857</v>
      </c>
      <c r="AB29" s="333">
        <f>+AB$21/AB28</f>
        <v>0.10567142857142857</v>
      </c>
    </row>
    <row r="30" spans="1:29" x14ac:dyDescent="0.2">
      <c r="A30" s="334" t="s">
        <v>295</v>
      </c>
      <c r="L30" s="379"/>
      <c r="N30" s="333">
        <f>AVERAGE(N$7,N$9)</f>
        <v>0.10305</v>
      </c>
      <c r="O30" s="333">
        <f t="shared" ref="O30:W30" si="12">AVERAGE(O$7,O$9)</f>
        <v>0.11385000000000001</v>
      </c>
      <c r="P30" s="333">
        <f t="shared" si="12"/>
        <v>0.12740000000000001</v>
      </c>
      <c r="Q30" s="333">
        <f t="shared" si="12"/>
        <v>0.13405</v>
      </c>
      <c r="R30" s="333">
        <f t="shared" si="12"/>
        <v>0.13685</v>
      </c>
      <c r="S30" s="333">
        <f t="shared" si="12"/>
        <v>0.13975000000000001</v>
      </c>
      <c r="T30" s="333">
        <f t="shared" si="12"/>
        <v>0.14085</v>
      </c>
      <c r="U30" s="333">
        <f t="shared" si="12"/>
        <v>0.1447</v>
      </c>
      <c r="V30" s="333">
        <f t="shared" si="12"/>
        <v>0.14889999999999998</v>
      </c>
      <c r="W30" s="333">
        <f t="shared" si="12"/>
        <v>0.15079999999999999</v>
      </c>
      <c r="X30" s="333">
        <f>AVERAGE(X$7,X$9)</f>
        <v>0.16055</v>
      </c>
      <c r="Y30" s="333">
        <f>AVERAGE(Y$7,Y$9)</f>
        <v>0.16555</v>
      </c>
      <c r="Z30" s="333">
        <f>AVERAGE(Z$7,Z$9)</f>
        <v>0.17645</v>
      </c>
      <c r="AA30" s="333">
        <f>AVERAGE(AA$7,AA$9)</f>
        <v>0.18054999999999999</v>
      </c>
      <c r="AB30" s="333">
        <f>AVERAGE(AB$7,AB$9)</f>
        <v>0.19164999999999999</v>
      </c>
    </row>
    <row r="31" spans="1:29" x14ac:dyDescent="0.2">
      <c r="A31" s="335" t="s">
        <v>4</v>
      </c>
      <c r="L31" s="379"/>
      <c r="N31" s="333">
        <v>7.6499999999999999E-2</v>
      </c>
      <c r="O31" s="333">
        <v>7.6499999999999999E-2</v>
      </c>
      <c r="P31" s="333">
        <v>7.6499999999999999E-2</v>
      </c>
      <c r="Q31" s="333">
        <v>7.6499999999999999E-2</v>
      </c>
      <c r="R31" s="333">
        <v>7.6499999999999999E-2</v>
      </c>
      <c r="S31" s="333">
        <v>7.6499999999999999E-2</v>
      </c>
      <c r="T31" s="333">
        <v>7.6499999999999999E-2</v>
      </c>
      <c r="U31" s="333">
        <v>7.6499999999999999E-2</v>
      </c>
      <c r="V31" s="333">
        <v>7.6499999999999999E-2</v>
      </c>
      <c r="W31" s="333">
        <v>7.6499999999999999E-2</v>
      </c>
      <c r="X31" s="333">
        <v>7.6499999999999999E-2</v>
      </c>
      <c r="Y31" s="333">
        <v>7.6499999999999999E-2</v>
      </c>
      <c r="Z31" s="333">
        <v>7.6499999999999999E-2</v>
      </c>
      <c r="AA31" s="333">
        <v>7.6499999999999999E-2</v>
      </c>
      <c r="AB31" s="333">
        <v>7.6499999999999999E-2</v>
      </c>
    </row>
    <row r="32" spans="1:29" ht="13.5" thickBot="1" x14ac:dyDescent="0.25">
      <c r="A32" s="336" t="s">
        <v>296</v>
      </c>
      <c r="L32" s="380"/>
      <c r="N32" s="337">
        <f t="shared" ref="N32:Y32" si="13">SUM(N29:N31)</f>
        <v>0.24422142857142859</v>
      </c>
      <c r="O32" s="337">
        <f t="shared" si="13"/>
        <v>0.26076428571428573</v>
      </c>
      <c r="P32" s="337">
        <f t="shared" si="13"/>
        <v>0.27434285714285717</v>
      </c>
      <c r="Q32" s="337">
        <f t="shared" si="13"/>
        <v>0.28472142857142857</v>
      </c>
      <c r="R32" s="337">
        <f t="shared" si="13"/>
        <v>0.28885</v>
      </c>
      <c r="S32" s="337">
        <f t="shared" si="13"/>
        <v>0.29307857142857147</v>
      </c>
      <c r="T32" s="337">
        <f t="shared" si="13"/>
        <v>0.29550714285714286</v>
      </c>
      <c r="U32" s="337">
        <f t="shared" si="13"/>
        <v>0.29935714285714288</v>
      </c>
      <c r="V32" s="337">
        <f t="shared" si="13"/>
        <v>0.30355714285714286</v>
      </c>
      <c r="W32" s="337">
        <f t="shared" si="13"/>
        <v>0.35085789473684209</v>
      </c>
      <c r="X32" s="337">
        <f>SUM(X29:X31)</f>
        <v>0.32424999999999998</v>
      </c>
      <c r="Y32" s="337">
        <f t="shared" si="13"/>
        <v>0.33213571428571431</v>
      </c>
      <c r="Z32" s="337">
        <f t="shared" ref="Z32:AB32" si="14">SUM(Z29:Z31)</f>
        <v>0.34332142857142856</v>
      </c>
      <c r="AA32" s="337">
        <f t="shared" si="14"/>
        <v>0.35732142857142857</v>
      </c>
      <c r="AB32" s="337">
        <f t="shared" si="14"/>
        <v>0.37382142857142858</v>
      </c>
    </row>
    <row r="33" spans="1:29" ht="13.5" thickBot="1" x14ac:dyDescent="0.25">
      <c r="L33" s="380"/>
    </row>
    <row r="34" spans="1:29" s="310" customFormat="1" ht="12.75" customHeight="1" x14ac:dyDescent="0.2">
      <c r="A34" s="330" t="s">
        <v>292</v>
      </c>
      <c r="B34" s="311"/>
      <c r="C34" s="311"/>
      <c r="D34" s="298"/>
      <c r="E34" s="328"/>
      <c r="F34" s="298"/>
      <c r="G34" s="328"/>
      <c r="H34" s="298"/>
      <c r="I34" s="329"/>
      <c r="J34" s="298"/>
      <c r="K34" s="329"/>
      <c r="L34" s="380"/>
      <c r="M34" s="329"/>
      <c r="N34" s="331">
        <v>120000</v>
      </c>
      <c r="O34" s="331">
        <v>120000</v>
      </c>
      <c r="P34" s="331">
        <v>120000</v>
      </c>
      <c r="Q34" s="331">
        <v>120000</v>
      </c>
      <c r="R34" s="331">
        <v>120000</v>
      </c>
      <c r="S34" s="331">
        <v>120000</v>
      </c>
      <c r="T34" s="331">
        <v>120000</v>
      </c>
      <c r="U34" s="331">
        <v>120000</v>
      </c>
      <c r="V34" s="331">
        <v>120000</v>
      </c>
      <c r="W34" s="331">
        <v>350000</v>
      </c>
      <c r="X34" s="331">
        <v>120000</v>
      </c>
      <c r="Y34" s="331">
        <v>120000</v>
      </c>
      <c r="Z34" s="331">
        <v>120000</v>
      </c>
      <c r="AA34" s="331">
        <v>120000</v>
      </c>
      <c r="AB34" s="331">
        <v>120000</v>
      </c>
      <c r="AC34" s="297"/>
    </row>
    <row r="35" spans="1:29" x14ac:dyDescent="0.2">
      <c r="A35" s="332" t="s">
        <v>293</v>
      </c>
      <c r="L35" s="380"/>
      <c r="N35" s="333">
        <f t="shared" ref="N35:X35" si="15">+N$21/N34</f>
        <v>3.7725000000000002E-2</v>
      </c>
      <c r="O35" s="333">
        <f t="shared" si="15"/>
        <v>4.1075E-2</v>
      </c>
      <c r="P35" s="333">
        <f t="shared" si="15"/>
        <v>4.1091666666666665E-2</v>
      </c>
      <c r="Q35" s="333">
        <f t="shared" si="15"/>
        <v>4.3266666666666669E-2</v>
      </c>
      <c r="R35" s="333">
        <f t="shared" si="15"/>
        <v>4.4041666666666666E-2</v>
      </c>
      <c r="S35" s="333">
        <f t="shared" si="15"/>
        <v>4.4816666666666664E-2</v>
      </c>
      <c r="T35" s="333">
        <f t="shared" si="15"/>
        <v>4.5591666666666669E-2</v>
      </c>
      <c r="U35" s="333">
        <f t="shared" si="15"/>
        <v>4.5591666666666669E-2</v>
      </c>
      <c r="V35" s="333">
        <f t="shared" si="15"/>
        <v>4.5591666666666669E-2</v>
      </c>
      <c r="W35" s="333">
        <f t="shared" si="15"/>
        <v>1.6768571428571428E-2</v>
      </c>
      <c r="X35" s="333">
        <f t="shared" si="15"/>
        <v>5.0866666666666664E-2</v>
      </c>
      <c r="Y35" s="333">
        <f>+Y$21/Y34</f>
        <v>5.2549999999999999E-2</v>
      </c>
      <c r="Z35" s="333">
        <f>+Z$21/Z34</f>
        <v>5.2716666666666669E-2</v>
      </c>
      <c r="AA35" s="333">
        <f>+AA$21/AA34</f>
        <v>5.8491666666666664E-2</v>
      </c>
      <c r="AB35" s="333">
        <f>+AB$21/AB34</f>
        <v>6.1641666666666664E-2</v>
      </c>
    </row>
    <row r="36" spans="1:29" x14ac:dyDescent="0.2">
      <c r="A36" s="334" t="s">
        <v>297</v>
      </c>
      <c r="L36" s="380"/>
      <c r="N36" s="333">
        <f>+N9</f>
        <v>0.1186</v>
      </c>
      <c r="O36" s="333">
        <f t="shared" ref="O36:X36" si="16">+O9</f>
        <v>0.1226</v>
      </c>
      <c r="P36" s="333">
        <f t="shared" si="16"/>
        <v>0.1236</v>
      </c>
      <c r="Q36" s="333">
        <f t="shared" si="16"/>
        <v>0.1258</v>
      </c>
      <c r="R36" s="333">
        <f t="shared" si="16"/>
        <v>0.1268</v>
      </c>
      <c r="S36" s="333">
        <f t="shared" si="16"/>
        <v>0.12740000000000001</v>
      </c>
      <c r="T36" s="333">
        <f t="shared" si="16"/>
        <v>0.1285</v>
      </c>
      <c r="U36" s="333">
        <f t="shared" si="16"/>
        <v>0.12820000000000001</v>
      </c>
      <c r="V36" s="333">
        <f t="shared" si="16"/>
        <v>0.13239999999999999</v>
      </c>
      <c r="W36" s="333">
        <f t="shared" si="16"/>
        <v>0.1303</v>
      </c>
      <c r="X36" s="333">
        <f t="shared" si="16"/>
        <v>0.13250000000000001</v>
      </c>
      <c r="Y36" s="333">
        <f t="shared" ref="Y36" si="17">+Y9</f>
        <v>0.1341</v>
      </c>
      <c r="Z36" s="333">
        <f>+Z9</f>
        <v>0.1361</v>
      </c>
      <c r="AA36" s="333">
        <f>+AA9</f>
        <v>0.13220000000000001</v>
      </c>
      <c r="AB36" s="333">
        <f>+AB9</f>
        <v>0.13830000000000001</v>
      </c>
    </row>
    <row r="37" spans="1:29" x14ac:dyDescent="0.2">
      <c r="A37" s="335" t="s">
        <v>4</v>
      </c>
      <c r="L37" s="380"/>
      <c r="N37" s="333">
        <v>7.6499999999999999E-2</v>
      </c>
      <c r="O37" s="333">
        <v>7.6499999999999999E-2</v>
      </c>
      <c r="P37" s="333">
        <v>7.6499999999999999E-2</v>
      </c>
      <c r="Q37" s="333">
        <v>7.6499999999999999E-2</v>
      </c>
      <c r="R37" s="333">
        <v>7.6499999999999999E-2</v>
      </c>
      <c r="S37" s="333">
        <v>7.6499999999999999E-2</v>
      </c>
      <c r="T37" s="333">
        <v>7.6499999999999999E-2</v>
      </c>
      <c r="U37" s="333">
        <v>7.6499999999999999E-2</v>
      </c>
      <c r="V37" s="333">
        <v>7.6499999999999999E-2</v>
      </c>
      <c r="W37" s="333">
        <v>7.6499999999999999E-2</v>
      </c>
      <c r="X37" s="333">
        <v>7.6499999999999999E-2</v>
      </c>
      <c r="Y37" s="333">
        <v>7.6499999999999999E-2</v>
      </c>
      <c r="Z37" s="333">
        <v>7.6499999999999999E-2</v>
      </c>
      <c r="AA37" s="333">
        <v>7.6499999999999999E-2</v>
      </c>
      <c r="AB37" s="333">
        <v>7.6499999999999999E-2</v>
      </c>
    </row>
    <row r="38" spans="1:29" ht="13.5" thickBot="1" x14ac:dyDescent="0.25">
      <c r="A38" s="336" t="s">
        <v>296</v>
      </c>
      <c r="L38" s="380"/>
      <c r="N38" s="337">
        <f t="shared" ref="N38:Y38" si="18">SUM(N35:N37)</f>
        <v>0.232825</v>
      </c>
      <c r="O38" s="337">
        <f t="shared" si="18"/>
        <v>0.24017500000000003</v>
      </c>
      <c r="P38" s="337">
        <f t="shared" si="18"/>
        <v>0.24119166666666669</v>
      </c>
      <c r="Q38" s="337">
        <f t="shared" si="18"/>
        <v>0.24556666666666666</v>
      </c>
      <c r="R38" s="337">
        <f t="shared" si="18"/>
        <v>0.24734166666666668</v>
      </c>
      <c r="S38" s="337">
        <f t="shared" si="18"/>
        <v>0.2487166666666667</v>
      </c>
      <c r="T38" s="337">
        <f t="shared" si="18"/>
        <v>0.25059166666666666</v>
      </c>
      <c r="U38" s="337">
        <f t="shared" si="18"/>
        <v>0.25029166666666669</v>
      </c>
      <c r="V38" s="337">
        <f t="shared" si="18"/>
        <v>0.25449166666666667</v>
      </c>
      <c r="W38" s="337">
        <f t="shared" si="18"/>
        <v>0.22356857142857145</v>
      </c>
      <c r="X38" s="337">
        <f t="shared" si="18"/>
        <v>0.25986666666666669</v>
      </c>
      <c r="Y38" s="337">
        <f t="shared" si="18"/>
        <v>0.26315</v>
      </c>
      <c r="Z38" s="337">
        <f t="shared" ref="Z38:AB38" si="19">SUM(Z35:Z37)</f>
        <v>0.26531666666666665</v>
      </c>
      <c r="AA38" s="337">
        <f t="shared" si="19"/>
        <v>0.26719166666666666</v>
      </c>
      <c r="AB38" s="337">
        <f t="shared" si="19"/>
        <v>0.2764416666666667</v>
      </c>
    </row>
    <row r="39" spans="1:29" x14ac:dyDescent="0.2">
      <c r="L39" s="380"/>
    </row>
    <row r="40" spans="1:29" x14ac:dyDescent="0.2">
      <c r="L40" s="338" t="s">
        <v>298</v>
      </c>
      <c r="N40" s="338" t="s">
        <v>298</v>
      </c>
      <c r="P40" s="338" t="s">
        <v>298</v>
      </c>
      <c r="R40" s="338" t="s">
        <v>298</v>
      </c>
      <c r="T40" s="338" t="s">
        <v>298</v>
      </c>
    </row>
  </sheetData>
  <mergeCells count="14">
    <mergeCell ref="L29:L39"/>
    <mergeCell ref="A1:V1"/>
    <mergeCell ref="H6:I6"/>
    <mergeCell ref="J6:K6"/>
    <mergeCell ref="L6:M6"/>
    <mergeCell ref="N6:O6"/>
    <mergeCell ref="P6:Q6"/>
    <mergeCell ref="R6:S6"/>
    <mergeCell ref="T6:V6"/>
    <mergeCell ref="D25:D28"/>
    <mergeCell ref="F25:F28"/>
    <mergeCell ref="H25:H28"/>
    <mergeCell ref="J25:J28"/>
    <mergeCell ref="L25:L28"/>
  </mergeCells>
  <hyperlinks>
    <hyperlink ref="L40" r:id="rId1" xr:uid="{00000000-0004-0000-0D00-000000000000}"/>
    <hyperlink ref="N40" r:id="rId2" xr:uid="{00000000-0004-0000-0D00-000001000000}"/>
    <hyperlink ref="P40" r:id="rId3" xr:uid="{00000000-0004-0000-0D00-000002000000}"/>
    <hyperlink ref="R40" r:id="rId4" xr:uid="{00000000-0004-0000-0D00-000003000000}"/>
    <hyperlink ref="T40" r:id="rId5" xr:uid="{00000000-0004-0000-0D00-000004000000}"/>
  </hyperlinks>
  <printOptions horizontalCentered="1"/>
  <pageMargins left="0.25" right="0.25" top="0.65" bottom="0.6" header="0.5" footer="0.28000000000000003"/>
  <pageSetup orientation="landscape" r:id="rId6"/>
  <headerFooter alignWithMargins="0">
    <oddHeader>&amp;Rcc: Sponsored Programs, Frank Fleming, Jim Hoppa,  Terrie Houck, Jim Mallinson, Karen Farley</oddHeader>
    <oddFooter>&amp;R&amp;D&amp;L&amp;"Arial"&amp;8J:\POSCTL\HISTORY\Benefit rates.xls\Summary</oddFooter>
  </headerFooter>
  <drawing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33CC33"/>
  </sheetPr>
  <dimension ref="A1:L33"/>
  <sheetViews>
    <sheetView workbookViewId="0"/>
  </sheetViews>
  <sheetFormatPr defaultColWidth="9.140625" defaultRowHeight="12" x14ac:dyDescent="0.2"/>
  <cols>
    <col min="1" max="1" width="55.140625" style="34" customWidth="1"/>
    <col min="2" max="2" width="9.42578125" style="34" customWidth="1"/>
    <col min="3" max="3" width="9.85546875" style="34" customWidth="1"/>
    <col min="4" max="4" width="3.42578125" style="34" customWidth="1"/>
    <col min="5" max="5" width="1.5703125" style="34" customWidth="1"/>
    <col min="6" max="6" width="45.42578125" style="34" customWidth="1"/>
    <col min="7" max="7" width="9" style="34" customWidth="1"/>
    <col min="8" max="8" width="9.85546875" style="34" customWidth="1"/>
    <col min="9" max="9" width="3.140625" style="34" customWidth="1"/>
    <col min="10" max="16384" width="9.140625" style="34"/>
  </cols>
  <sheetData>
    <row r="1" spans="1:12" ht="18" x14ac:dyDescent="0.25">
      <c r="A1" s="82" t="s">
        <v>216</v>
      </c>
    </row>
    <row r="3" spans="1:12" ht="30" customHeight="1" x14ac:dyDescent="0.2">
      <c r="A3" s="35" t="s">
        <v>20</v>
      </c>
      <c r="F3" s="35" t="s">
        <v>21</v>
      </c>
    </row>
    <row r="4" spans="1:12" x14ac:dyDescent="0.2">
      <c r="A4" s="117"/>
      <c r="B4" s="118" t="s">
        <v>221</v>
      </c>
      <c r="C4" s="119" t="s">
        <v>223</v>
      </c>
      <c r="F4" s="117"/>
      <c r="G4" s="118" t="s">
        <v>221</v>
      </c>
      <c r="H4" s="119" t="s">
        <v>223</v>
      </c>
    </row>
    <row r="5" spans="1:12" x14ac:dyDescent="0.2">
      <c r="A5" s="120" t="s">
        <v>72</v>
      </c>
      <c r="B5" s="121">
        <v>100000</v>
      </c>
      <c r="C5" s="41">
        <v>60000</v>
      </c>
      <c r="F5" s="120" t="s">
        <v>73</v>
      </c>
      <c r="G5" s="121">
        <v>27050</v>
      </c>
      <c r="H5" s="41">
        <v>50000</v>
      </c>
    </row>
    <row r="6" spans="1:12" x14ac:dyDescent="0.2">
      <c r="A6" s="83" t="s">
        <v>215</v>
      </c>
      <c r="B6" s="42">
        <f>-C22</f>
        <v>-5659</v>
      </c>
      <c r="C6" s="43"/>
      <c r="F6" s="120" t="str">
        <f>A10</f>
        <v>FICA (Salary X .0765)</v>
      </c>
      <c r="G6" s="121">
        <f>G5*C18</f>
        <v>2069.3249999999998</v>
      </c>
      <c r="H6" s="41">
        <f>H5*C18</f>
        <v>3825</v>
      </c>
    </row>
    <row r="7" spans="1:12" x14ac:dyDescent="0.2">
      <c r="A7" s="120" t="s">
        <v>12</v>
      </c>
      <c r="B7" s="121">
        <f>SUM(B5:B6)</f>
        <v>94341</v>
      </c>
      <c r="C7" s="41">
        <f>SUM(C5:C6)</f>
        <v>60000</v>
      </c>
      <c r="F7" s="120" t="str">
        <f>A11</f>
        <v>Retirement (Salary x .1633 for SHRA or .1303 for EHRA)</v>
      </c>
      <c r="G7" s="121">
        <f>G5*C19</f>
        <v>4417.2650000000003</v>
      </c>
      <c r="H7" s="41">
        <f>H5*C20</f>
        <v>6515</v>
      </c>
    </row>
    <row r="8" spans="1:12" x14ac:dyDescent="0.2">
      <c r="A8" s="120"/>
      <c r="B8" s="121"/>
      <c r="C8" s="41"/>
      <c r="F8" s="120" t="s">
        <v>0</v>
      </c>
      <c r="G8" s="42">
        <f>C22</f>
        <v>5659</v>
      </c>
      <c r="H8" s="43">
        <f>C22</f>
        <v>5659</v>
      </c>
    </row>
    <row r="9" spans="1:12" x14ac:dyDescent="0.2">
      <c r="A9" s="120" t="s">
        <v>76</v>
      </c>
      <c r="B9" s="121">
        <f>B7/1.2398</f>
        <v>76093.724794321664</v>
      </c>
      <c r="C9" s="41">
        <f>C7/1.2068</f>
        <v>49718.263175339736</v>
      </c>
      <c r="F9" s="120"/>
      <c r="G9" s="121"/>
      <c r="H9" s="41"/>
    </row>
    <row r="10" spans="1:12" x14ac:dyDescent="0.2">
      <c r="A10" s="120" t="s">
        <v>77</v>
      </c>
      <c r="B10" s="121">
        <f>B9*C18</f>
        <v>5821.1699467656072</v>
      </c>
      <c r="C10" s="41">
        <f>C9*C18</f>
        <v>3803.4471329134899</v>
      </c>
      <c r="F10" s="120" t="s">
        <v>90</v>
      </c>
      <c r="G10" s="121">
        <f>SUM(G5:G8)</f>
        <v>39195.590000000004</v>
      </c>
      <c r="H10" s="41">
        <f>SUM(H5:H8)</f>
        <v>65999</v>
      </c>
    </row>
    <row r="11" spans="1:12" x14ac:dyDescent="0.2">
      <c r="A11" s="120" t="s">
        <v>245</v>
      </c>
      <c r="B11" s="121">
        <f>B9*C19</f>
        <v>12426.105258912728</v>
      </c>
      <c r="C11" s="41"/>
      <c r="F11" s="120"/>
      <c r="G11" s="44"/>
      <c r="H11" s="126"/>
    </row>
    <row r="12" spans="1:12" x14ac:dyDescent="0.2">
      <c r="A12" s="120" t="s">
        <v>0</v>
      </c>
      <c r="B12" s="42">
        <f>C22</f>
        <v>5659</v>
      </c>
      <c r="C12" s="43"/>
      <c r="F12" s="120"/>
      <c r="G12" s="44"/>
      <c r="H12" s="126"/>
    </row>
    <row r="13" spans="1:12" x14ac:dyDescent="0.2">
      <c r="A13" s="122" t="s">
        <v>13</v>
      </c>
      <c r="B13" s="47">
        <f>SUM(B9:B12)</f>
        <v>100000</v>
      </c>
      <c r="C13" s="48">
        <f>SUM(C9:C12)</f>
        <v>53521.710308253227</v>
      </c>
      <c r="F13" s="122"/>
      <c r="G13" s="123"/>
      <c r="H13" s="124"/>
    </row>
    <row r="14" spans="1:12" x14ac:dyDescent="0.2">
      <c r="L14" s="287"/>
    </row>
    <row r="15" spans="1:12" ht="12.75" x14ac:dyDescent="0.2">
      <c r="A15" s="243" t="s">
        <v>214</v>
      </c>
      <c r="B15" s="188"/>
      <c r="C15" s="189"/>
      <c r="F15" s="116" t="s">
        <v>93</v>
      </c>
      <c r="G15" s="115"/>
      <c r="H15" s="115"/>
    </row>
    <row r="16" spans="1:12" x14ac:dyDescent="0.2">
      <c r="A16" s="190"/>
      <c r="B16" s="191"/>
      <c r="C16" s="192"/>
      <c r="F16" s="117"/>
      <c r="G16" s="118" t="s">
        <v>221</v>
      </c>
      <c r="H16" s="119" t="s">
        <v>223</v>
      </c>
      <c r="L16" s="287"/>
    </row>
    <row r="17" spans="1:8" x14ac:dyDescent="0.2">
      <c r="A17" s="193" t="s">
        <v>1</v>
      </c>
      <c r="B17" s="194" t="s">
        <v>2</v>
      </c>
      <c r="C17" s="195" t="s">
        <v>3</v>
      </c>
      <c r="F17" s="120" t="s">
        <v>73</v>
      </c>
      <c r="G17" s="121">
        <v>50000</v>
      </c>
      <c r="H17" s="127">
        <v>50000</v>
      </c>
    </row>
    <row r="18" spans="1:8" x14ac:dyDescent="0.2">
      <c r="A18" s="196" t="s">
        <v>4</v>
      </c>
      <c r="B18" s="197">
        <v>919150</v>
      </c>
      <c r="C18" s="198">
        <v>7.6499999999999999E-2</v>
      </c>
      <c r="F18" s="120" t="str">
        <f>A10</f>
        <v>FICA (Salary X .0765)</v>
      </c>
      <c r="G18" s="121">
        <f>G17*C18</f>
        <v>3825</v>
      </c>
      <c r="H18" s="127">
        <f>H17*C18</f>
        <v>3825</v>
      </c>
    </row>
    <row r="19" spans="1:8" x14ac:dyDescent="0.2">
      <c r="A19" s="196" t="s">
        <v>57</v>
      </c>
      <c r="B19" s="197">
        <v>919050</v>
      </c>
      <c r="C19" s="198">
        <v>0.1633</v>
      </c>
      <c r="F19" s="120" t="s">
        <v>246</v>
      </c>
      <c r="G19" s="121">
        <f>G17*C21</f>
        <v>10665</v>
      </c>
      <c r="H19" s="127">
        <f>H17*C21</f>
        <v>10665</v>
      </c>
    </row>
    <row r="20" spans="1:8" x14ac:dyDescent="0.2">
      <c r="A20" s="196" t="s">
        <v>7</v>
      </c>
      <c r="B20" s="197">
        <v>918000</v>
      </c>
      <c r="C20" s="198">
        <v>0.1303</v>
      </c>
      <c r="F20" s="120" t="s">
        <v>0</v>
      </c>
      <c r="G20" s="125">
        <f>C22</f>
        <v>5659</v>
      </c>
      <c r="H20" s="109">
        <f>C22</f>
        <v>5659</v>
      </c>
    </row>
    <row r="21" spans="1:8" x14ac:dyDescent="0.2">
      <c r="A21" s="196" t="s">
        <v>86</v>
      </c>
      <c r="B21" s="197">
        <v>919100</v>
      </c>
      <c r="C21" s="198">
        <v>0.21329999999999999</v>
      </c>
      <c r="F21" s="120" t="s">
        <v>95</v>
      </c>
      <c r="G21" s="121">
        <f>SUM(G17:G20)</f>
        <v>70149</v>
      </c>
      <c r="H21" s="127">
        <f>SUM(H17:H20)</f>
        <v>70149</v>
      </c>
    </row>
    <row r="22" spans="1:8" x14ac:dyDescent="0.2">
      <c r="A22" s="93" t="s">
        <v>247</v>
      </c>
      <c r="B22" s="197">
        <v>917000</v>
      </c>
      <c r="C22" s="94">
        <v>5659</v>
      </c>
      <c r="D22" s="34" t="s">
        <v>22</v>
      </c>
      <c r="F22" s="120"/>
      <c r="G22" s="121"/>
      <c r="H22" s="126"/>
    </row>
    <row r="23" spans="1:8" x14ac:dyDescent="0.2">
      <c r="A23" s="196"/>
      <c r="B23" s="191"/>
      <c r="C23" s="192"/>
      <c r="F23" s="174"/>
      <c r="G23" s="175"/>
      <c r="H23" s="176"/>
    </row>
    <row r="24" spans="1:8" x14ac:dyDescent="0.2">
      <c r="A24" s="196" t="s">
        <v>222</v>
      </c>
      <c r="B24" s="200">
        <f>SUM(C18+C19)</f>
        <v>0.23980000000000001</v>
      </c>
      <c r="C24" s="192"/>
      <c r="F24" s="120" t="s">
        <v>72</v>
      </c>
      <c r="G24" s="121">
        <v>50000</v>
      </c>
      <c r="H24" s="41">
        <v>50000</v>
      </c>
    </row>
    <row r="25" spans="1:8" x14ac:dyDescent="0.2">
      <c r="A25" s="196" t="s">
        <v>224</v>
      </c>
      <c r="B25" s="200">
        <f>C18+C20</f>
        <v>0.20679999999999998</v>
      </c>
      <c r="C25" s="192"/>
      <c r="F25" s="83" t="s">
        <v>213</v>
      </c>
      <c r="G25" s="42">
        <f>-C22</f>
        <v>-5659</v>
      </c>
      <c r="H25" s="43">
        <f>-C22</f>
        <v>-5659</v>
      </c>
    </row>
    <row r="26" spans="1:8" x14ac:dyDescent="0.2">
      <c r="A26" s="201" t="s">
        <v>185</v>
      </c>
      <c r="B26" s="202">
        <f>SUM(C18+C21)</f>
        <v>0.2898</v>
      </c>
      <c r="C26" s="203"/>
      <c r="F26" s="120" t="s">
        <v>12</v>
      </c>
      <c r="G26" s="121">
        <f>SUM(G24:G25)</f>
        <v>44341</v>
      </c>
      <c r="H26" s="41">
        <f>SUM(H24:H25)</f>
        <v>44341</v>
      </c>
    </row>
    <row r="27" spans="1:8" x14ac:dyDescent="0.2">
      <c r="F27" s="120"/>
      <c r="G27" s="121"/>
      <c r="H27" s="126"/>
    </row>
    <row r="28" spans="1:8" x14ac:dyDescent="0.2">
      <c r="A28" s="34" t="s">
        <v>248</v>
      </c>
      <c r="F28" s="120" t="s">
        <v>76</v>
      </c>
      <c r="G28" s="121">
        <f>G26/1.2797</f>
        <v>34649.52723294522</v>
      </c>
      <c r="H28" s="41">
        <f>H26/1.2797</f>
        <v>34649.52723294522</v>
      </c>
    </row>
    <row r="29" spans="1:8" x14ac:dyDescent="0.2">
      <c r="F29" s="120" t="str">
        <f>A10</f>
        <v>FICA (Salary X .0765)</v>
      </c>
      <c r="G29" s="121">
        <f>G28*C18</f>
        <v>2650.6888333203092</v>
      </c>
      <c r="H29" s="41">
        <f>H28*C18</f>
        <v>2650.6888333203092</v>
      </c>
    </row>
    <row r="30" spans="1:8" x14ac:dyDescent="0.2">
      <c r="A30" s="34" t="s">
        <v>219</v>
      </c>
      <c r="F30" s="120" t="str">
        <f>F19</f>
        <v>LEO Retirement (Salary x .2133 for both EHRA &amp; SHRA)</v>
      </c>
      <c r="G30" s="121">
        <f>G28*C21</f>
        <v>7390.7441587872154</v>
      </c>
      <c r="H30" s="41">
        <f>H28*C21</f>
        <v>7390.7441587872154</v>
      </c>
    </row>
    <row r="31" spans="1:8" x14ac:dyDescent="0.2">
      <c r="F31" s="120" t="s">
        <v>0</v>
      </c>
      <c r="G31" s="42">
        <f>C22</f>
        <v>5659</v>
      </c>
      <c r="H31" s="242">
        <f>C22</f>
        <v>5659</v>
      </c>
    </row>
    <row r="32" spans="1:8" ht="25.5" x14ac:dyDescent="0.2">
      <c r="A32" s="286" t="s">
        <v>220</v>
      </c>
      <c r="F32" s="122" t="s">
        <v>13</v>
      </c>
      <c r="G32" s="47">
        <f>SUM(G28:G31)</f>
        <v>50349.960225052746</v>
      </c>
      <c r="H32" s="48">
        <f>SUM(H28:H31)</f>
        <v>50349.960225052746</v>
      </c>
    </row>
    <row r="33" spans="8:8" x14ac:dyDescent="0.2">
      <c r="H33" s="178"/>
    </row>
  </sheetData>
  <hyperlinks>
    <hyperlink ref="A32" r:id="rId1" xr:uid="{00000000-0004-0000-0100-000000000000}"/>
  </hyperlinks>
  <pageMargins left="0.75" right="0.75" top="1" bottom="1" header="0.5" footer="0.5"/>
  <pageSetup scale="85" orientation="landscape" cellComments="asDisplayed" r:id="rId2"/>
  <headerFooter alignWithMargins="0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G30"/>
  <sheetViews>
    <sheetView workbookViewId="0"/>
  </sheetViews>
  <sheetFormatPr defaultColWidth="9.140625" defaultRowHeight="12" x14ac:dyDescent="0.2"/>
  <cols>
    <col min="1" max="1" width="51.5703125" style="34" customWidth="1"/>
    <col min="2" max="2" width="9.5703125" style="34" bestFit="1" customWidth="1"/>
    <col min="3" max="3" width="9" style="34" bestFit="1" customWidth="1"/>
    <col min="4" max="4" width="3.42578125" style="34" customWidth="1"/>
    <col min="5" max="5" width="51.42578125" style="34" bestFit="1" customWidth="1"/>
    <col min="6" max="6" width="9.85546875" style="34" customWidth="1"/>
    <col min="7" max="7" width="9.5703125" style="34" customWidth="1"/>
    <col min="8" max="16384" width="9.140625" style="34"/>
  </cols>
  <sheetData>
    <row r="1" spans="1:7" ht="18" x14ac:dyDescent="0.25">
      <c r="A1" s="82" t="s">
        <v>129</v>
      </c>
    </row>
    <row r="3" spans="1:7" x14ac:dyDescent="0.2">
      <c r="A3" s="35"/>
    </row>
    <row r="4" spans="1:7" ht="12.75" x14ac:dyDescent="0.2">
      <c r="A4" s="141" t="s">
        <v>20</v>
      </c>
      <c r="B4" s="140"/>
      <c r="C4" s="140"/>
      <c r="E4" s="35" t="s">
        <v>21</v>
      </c>
    </row>
    <row r="5" spans="1:7" x14ac:dyDescent="0.2">
      <c r="A5" s="142"/>
      <c r="B5" s="143" t="s">
        <v>10</v>
      </c>
      <c r="C5" s="144" t="s">
        <v>11</v>
      </c>
      <c r="E5" s="117"/>
      <c r="F5" s="118" t="s">
        <v>10</v>
      </c>
      <c r="G5" s="119" t="s">
        <v>11</v>
      </c>
    </row>
    <row r="6" spans="1:7" x14ac:dyDescent="0.2">
      <c r="A6" s="145" t="s">
        <v>72</v>
      </c>
      <c r="B6" s="146">
        <v>100000</v>
      </c>
      <c r="C6" s="147">
        <v>100000</v>
      </c>
      <c r="E6" s="120" t="s">
        <v>73</v>
      </c>
      <c r="F6" s="121">
        <v>60000</v>
      </c>
      <c r="G6" s="41">
        <v>60000</v>
      </c>
    </row>
    <row r="7" spans="1:7" x14ac:dyDescent="0.2">
      <c r="A7" s="153" t="s">
        <v>130</v>
      </c>
      <c r="B7" s="148">
        <f>-C23</f>
        <v>-5378</v>
      </c>
      <c r="C7" s="149">
        <f>-C23</f>
        <v>-5378</v>
      </c>
      <c r="E7" s="145" t="s">
        <v>102</v>
      </c>
      <c r="F7" s="121">
        <f>F6*C20</f>
        <v>4590</v>
      </c>
      <c r="G7" s="41">
        <f>G6*C20</f>
        <v>4590</v>
      </c>
    </row>
    <row r="8" spans="1:7" x14ac:dyDescent="0.2">
      <c r="A8" s="145" t="s">
        <v>12</v>
      </c>
      <c r="B8" s="146">
        <f>SUM(B6:B7)</f>
        <v>94622</v>
      </c>
      <c r="C8" s="147">
        <f>SUM(C6:C7)</f>
        <v>94622</v>
      </c>
      <c r="E8" s="120" t="s">
        <v>175</v>
      </c>
      <c r="F8" s="121">
        <f>F6*C21</f>
        <v>9126</v>
      </c>
      <c r="G8" s="41">
        <f>G6*C22</f>
        <v>7644.0000000000009</v>
      </c>
    </row>
    <row r="9" spans="1:7" x14ac:dyDescent="0.2">
      <c r="A9" s="145"/>
      <c r="B9" s="146"/>
      <c r="C9" s="147"/>
      <c r="E9" s="145" t="s">
        <v>134</v>
      </c>
      <c r="F9" s="121">
        <f>F6*C24</f>
        <v>1662</v>
      </c>
      <c r="G9" s="41">
        <f>G6*C24</f>
        <v>1662</v>
      </c>
    </row>
    <row r="10" spans="1:7" x14ac:dyDescent="0.2">
      <c r="A10" s="145" t="s">
        <v>101</v>
      </c>
      <c r="B10" s="146">
        <f>B8/1.2563</f>
        <v>75317.997293640059</v>
      </c>
      <c r="C10" s="147">
        <f>C8/1.2316</f>
        <v>76828.515751867482</v>
      </c>
      <c r="E10" s="120" t="s">
        <v>0</v>
      </c>
      <c r="F10" s="42">
        <f>C23</f>
        <v>5378</v>
      </c>
      <c r="G10" s="43">
        <f>C23</f>
        <v>5378</v>
      </c>
    </row>
    <row r="11" spans="1:7" x14ac:dyDescent="0.2">
      <c r="A11" s="145" t="s">
        <v>102</v>
      </c>
      <c r="B11" s="146">
        <f>B10*C20</f>
        <v>5761.826792963464</v>
      </c>
      <c r="C11" s="147">
        <f>C10*C20</f>
        <v>5877.3814550178622</v>
      </c>
      <c r="E11" s="120"/>
      <c r="F11" s="121"/>
      <c r="G11" s="41"/>
    </row>
    <row r="12" spans="1:7" x14ac:dyDescent="0.2">
      <c r="A12" s="120" t="str">
        <f>' FY 14-15 (General Funds)'!A11</f>
        <v>Retirement (Salary x .1521 for SPA or .1274 for EPA)</v>
      </c>
      <c r="B12" s="121">
        <f>B10*C21</f>
        <v>11455.867388362654</v>
      </c>
      <c r="C12" s="41">
        <f>C10*C22</f>
        <v>9787.9529067879175</v>
      </c>
      <c r="E12" s="120" t="s">
        <v>90</v>
      </c>
      <c r="F12" s="121">
        <f>SUM(F6:F10)</f>
        <v>80756</v>
      </c>
      <c r="G12" s="41">
        <f>SUM(G6:G10)</f>
        <v>79274</v>
      </c>
    </row>
    <row r="13" spans="1:7" x14ac:dyDescent="0.2">
      <c r="A13" s="145" t="s">
        <v>133</v>
      </c>
      <c r="B13" s="186">
        <f>B10*C24</f>
        <v>2086.3085250338295</v>
      </c>
      <c r="C13" s="147">
        <f>C10*C24</f>
        <v>2128.1498863267293</v>
      </c>
      <c r="E13" s="120"/>
      <c r="F13" s="44"/>
      <c r="G13" s="126"/>
    </row>
    <row r="14" spans="1:7" x14ac:dyDescent="0.2">
      <c r="A14" s="145" t="s">
        <v>0</v>
      </c>
      <c r="B14" s="148">
        <f>C23</f>
        <v>5378</v>
      </c>
      <c r="C14" s="149">
        <f>C23</f>
        <v>5378</v>
      </c>
      <c r="E14" s="155" t="s">
        <v>105</v>
      </c>
      <c r="F14" s="156">
        <f>(SUM((F7:F10))/F6)</f>
        <v>0.34593333333333331</v>
      </c>
      <c r="G14" s="157">
        <f>(SUM((G7:G10))/G6)</f>
        <v>0.32123333333333332</v>
      </c>
    </row>
    <row r="15" spans="1:7" x14ac:dyDescent="0.2">
      <c r="A15" s="150" t="s">
        <v>13</v>
      </c>
      <c r="B15" s="151">
        <f>SUM(B10:B14)</f>
        <v>100000.00000000001</v>
      </c>
      <c r="C15" s="152">
        <f>SUM(C10:C14)</f>
        <v>100000</v>
      </c>
    </row>
    <row r="16" spans="1:7" x14ac:dyDescent="0.2">
      <c r="B16" s="51"/>
    </row>
    <row r="17" spans="1:4" ht="12.75" x14ac:dyDescent="0.2">
      <c r="A17" s="159" t="s">
        <v>132</v>
      </c>
      <c r="B17" s="160"/>
      <c r="C17" s="161"/>
    </row>
    <row r="18" spans="1:4" x14ac:dyDescent="0.2">
      <c r="A18" s="162"/>
      <c r="B18" s="163"/>
      <c r="C18" s="164"/>
    </row>
    <row r="19" spans="1:4" x14ac:dyDescent="0.2">
      <c r="A19" s="165" t="s">
        <v>1</v>
      </c>
      <c r="B19" s="166" t="s">
        <v>2</v>
      </c>
      <c r="C19" s="167" t="s">
        <v>3</v>
      </c>
    </row>
    <row r="20" spans="1:4" x14ac:dyDescent="0.2">
      <c r="A20" s="168" t="s">
        <v>4</v>
      </c>
      <c r="B20" s="169">
        <v>919150</v>
      </c>
      <c r="C20" s="182">
        <v>7.6499999999999999E-2</v>
      </c>
    </row>
    <row r="21" spans="1:4" x14ac:dyDescent="0.2">
      <c r="A21" s="168" t="s">
        <v>57</v>
      </c>
      <c r="B21" s="169">
        <v>919050</v>
      </c>
      <c r="C21" s="182">
        <v>0.15210000000000001</v>
      </c>
    </row>
    <row r="22" spans="1:4" x14ac:dyDescent="0.2">
      <c r="A22" s="168" t="s">
        <v>7</v>
      </c>
      <c r="B22" s="169">
        <v>918000</v>
      </c>
      <c r="C22" s="182">
        <v>0.12740000000000001</v>
      </c>
      <c r="D22" s="34" t="s">
        <v>22</v>
      </c>
    </row>
    <row r="23" spans="1:4" x14ac:dyDescent="0.2">
      <c r="A23" s="168" t="s">
        <v>6</v>
      </c>
      <c r="B23" s="169">
        <v>917000</v>
      </c>
      <c r="C23" s="170">
        <v>5378</v>
      </c>
    </row>
    <row r="24" spans="1:4" x14ac:dyDescent="0.2">
      <c r="A24" s="93" t="s">
        <v>121</v>
      </c>
      <c r="B24" s="158">
        <v>919700</v>
      </c>
      <c r="C24" s="183">
        <v>2.7699999999999999E-2</v>
      </c>
    </row>
    <row r="25" spans="1:4" x14ac:dyDescent="0.2">
      <c r="A25" s="168"/>
      <c r="B25" s="169"/>
      <c r="C25" s="173"/>
    </row>
    <row r="26" spans="1:4" x14ac:dyDescent="0.2">
      <c r="A26" s="168" t="s">
        <v>97</v>
      </c>
      <c r="B26" s="184">
        <f>SUM(C20+C21+C24)</f>
        <v>0.25630000000000003</v>
      </c>
      <c r="C26" s="164"/>
    </row>
    <row r="27" spans="1:4" x14ac:dyDescent="0.2">
      <c r="A27" s="171" t="s">
        <v>98</v>
      </c>
      <c r="B27" s="185">
        <f>C20+C22+C24</f>
        <v>0.23160000000000003</v>
      </c>
      <c r="C27" s="172"/>
    </row>
    <row r="30" spans="1:4" x14ac:dyDescent="0.2">
      <c r="A30" s="34" t="s">
        <v>131</v>
      </c>
    </row>
  </sheetData>
  <pageMargins left="0.75" right="0.75" top="1" bottom="1" header="0.5" footer="0.5"/>
  <pageSetup scale="85" orientation="landscape" cellComments="asDisplayed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H33"/>
  <sheetViews>
    <sheetView workbookViewId="0"/>
  </sheetViews>
  <sheetFormatPr defaultColWidth="9.140625" defaultRowHeight="12" x14ac:dyDescent="0.2"/>
  <cols>
    <col min="1" max="1" width="49.42578125" style="34" customWidth="1"/>
    <col min="2" max="2" width="9.42578125" style="34" customWidth="1"/>
    <col min="3" max="3" width="9.85546875" style="34" customWidth="1"/>
    <col min="4" max="4" width="3.42578125" style="34" customWidth="1"/>
    <col min="5" max="5" width="1.5703125" style="34" customWidth="1"/>
    <col min="6" max="6" width="45.42578125" style="34" customWidth="1"/>
    <col min="7" max="7" width="9" style="34" customWidth="1"/>
    <col min="8" max="8" width="9.85546875" style="34" customWidth="1"/>
    <col min="9" max="16384" width="9.140625" style="34"/>
  </cols>
  <sheetData>
    <row r="1" spans="1:8" ht="18" x14ac:dyDescent="0.25">
      <c r="A1" s="82" t="s">
        <v>126</v>
      </c>
    </row>
    <row r="3" spans="1:8" x14ac:dyDescent="0.2">
      <c r="A3" s="35" t="s">
        <v>20</v>
      </c>
      <c r="F3" s="35" t="s">
        <v>21</v>
      </c>
    </row>
    <row r="4" spans="1:8" x14ac:dyDescent="0.2">
      <c r="A4" s="117"/>
      <c r="B4" s="118" t="s">
        <v>10</v>
      </c>
      <c r="C4" s="119" t="s">
        <v>11</v>
      </c>
      <c r="F4" s="117"/>
      <c r="G4" s="118" t="s">
        <v>10</v>
      </c>
      <c r="H4" s="119" t="s">
        <v>11</v>
      </c>
    </row>
    <row r="5" spans="1:8" x14ac:dyDescent="0.2">
      <c r="A5" s="120" t="s">
        <v>72</v>
      </c>
      <c r="B5" s="121">
        <v>100000</v>
      </c>
      <c r="C5" s="41">
        <v>100000</v>
      </c>
      <c r="F5" s="120" t="s">
        <v>73</v>
      </c>
      <c r="G5" s="121">
        <v>50000</v>
      </c>
      <c r="H5" s="41">
        <v>50000</v>
      </c>
    </row>
    <row r="6" spans="1:8" x14ac:dyDescent="0.2">
      <c r="A6" s="83" t="s">
        <v>127</v>
      </c>
      <c r="B6" s="42">
        <f>-C22</f>
        <v>-5378</v>
      </c>
      <c r="C6" s="43">
        <f>-C22</f>
        <v>-5378</v>
      </c>
      <c r="F6" s="120" t="str">
        <f>A10</f>
        <v>FICA (Salary X .0765)</v>
      </c>
      <c r="G6" s="121">
        <f>G5*C18</f>
        <v>3825</v>
      </c>
      <c r="H6" s="41">
        <f>H5*C18</f>
        <v>3825</v>
      </c>
    </row>
    <row r="7" spans="1:8" x14ac:dyDescent="0.2">
      <c r="A7" s="120" t="s">
        <v>12</v>
      </c>
      <c r="B7" s="121">
        <f>SUM(B5:B6)</f>
        <v>94622</v>
      </c>
      <c r="C7" s="41">
        <f>SUM(C5:C6)</f>
        <v>94622</v>
      </c>
      <c r="F7" s="120" t="str">
        <f>A11</f>
        <v>Retirement (Salary x .1521 for SPA or .1274 for EPA)</v>
      </c>
      <c r="G7" s="121">
        <f>G5*C19</f>
        <v>7605.0000000000009</v>
      </c>
      <c r="H7" s="41">
        <f>H5*C20</f>
        <v>6370.0000000000009</v>
      </c>
    </row>
    <row r="8" spans="1:8" x14ac:dyDescent="0.2">
      <c r="A8" s="120"/>
      <c r="B8" s="121"/>
      <c r="C8" s="41"/>
      <c r="F8" s="120" t="s">
        <v>0</v>
      </c>
      <c r="G8" s="42">
        <f>C22</f>
        <v>5378</v>
      </c>
      <c r="H8" s="43">
        <f>C22</f>
        <v>5378</v>
      </c>
    </row>
    <row r="9" spans="1:8" x14ac:dyDescent="0.2">
      <c r="A9" s="120" t="s">
        <v>76</v>
      </c>
      <c r="B9" s="121">
        <f>B7/1.2286</f>
        <v>77016.115904281294</v>
      </c>
      <c r="C9" s="41">
        <f>C7/1.2039</f>
        <v>78596.228922668</v>
      </c>
      <c r="F9" s="120"/>
      <c r="G9" s="121"/>
      <c r="H9" s="41"/>
    </row>
    <row r="10" spans="1:8" x14ac:dyDescent="0.2">
      <c r="A10" s="120" t="s">
        <v>77</v>
      </c>
      <c r="B10" s="121">
        <f>B9*C18</f>
        <v>5891.7328666775193</v>
      </c>
      <c r="C10" s="41">
        <f>C9*C18</f>
        <v>6012.6115125841015</v>
      </c>
      <c r="F10" s="120" t="s">
        <v>90</v>
      </c>
      <c r="G10" s="121">
        <f>SUM(G5:G8)</f>
        <v>66808</v>
      </c>
      <c r="H10" s="41">
        <f>SUM(H5:H8)</f>
        <v>65573</v>
      </c>
    </row>
    <row r="11" spans="1:8" x14ac:dyDescent="0.2">
      <c r="A11" s="120" t="s">
        <v>175</v>
      </c>
      <c r="B11" s="121">
        <f>B9*C19</f>
        <v>11714.151229041187</v>
      </c>
      <c r="C11" s="41">
        <f>C9*C20</f>
        <v>10013.159564747904</v>
      </c>
      <c r="F11" s="120"/>
      <c r="G11" s="44"/>
      <c r="H11" s="126"/>
    </row>
    <row r="12" spans="1:8" x14ac:dyDescent="0.2">
      <c r="A12" s="120" t="s">
        <v>0</v>
      </c>
      <c r="B12" s="42">
        <f>C22</f>
        <v>5378</v>
      </c>
      <c r="C12" s="43">
        <f>C22</f>
        <v>5378</v>
      </c>
      <c r="F12" s="120"/>
      <c r="G12" s="44"/>
      <c r="H12" s="126"/>
    </row>
    <row r="13" spans="1:8" x14ac:dyDescent="0.2">
      <c r="A13" s="122" t="s">
        <v>13</v>
      </c>
      <c r="B13" s="47">
        <f>SUM(B9:B12)</f>
        <v>100000</v>
      </c>
      <c r="C13" s="48">
        <f>SUM(C9:C12)</f>
        <v>100000</v>
      </c>
      <c r="F13" s="122"/>
      <c r="G13" s="123"/>
      <c r="H13" s="124"/>
    </row>
    <row r="15" spans="1:8" ht="12.75" x14ac:dyDescent="0.2">
      <c r="A15" s="187" t="s">
        <v>135</v>
      </c>
      <c r="B15" s="188"/>
      <c r="C15" s="189"/>
      <c r="F15" s="116" t="s">
        <v>93</v>
      </c>
      <c r="G15" s="115"/>
      <c r="H15" s="115"/>
    </row>
    <row r="16" spans="1:8" x14ac:dyDescent="0.2">
      <c r="A16" s="190"/>
      <c r="B16" s="191"/>
      <c r="C16" s="192"/>
      <c r="F16" s="117"/>
      <c r="G16" s="118" t="s">
        <v>10</v>
      </c>
      <c r="H16" s="119" t="s">
        <v>11</v>
      </c>
    </row>
    <row r="17" spans="1:8" x14ac:dyDescent="0.2">
      <c r="A17" s="193" t="s">
        <v>1</v>
      </c>
      <c r="B17" s="194" t="s">
        <v>2</v>
      </c>
      <c r="C17" s="195" t="s">
        <v>3</v>
      </c>
      <c r="F17" s="120" t="s">
        <v>73</v>
      </c>
      <c r="G17" s="121">
        <v>50000</v>
      </c>
      <c r="H17" s="127">
        <v>50000</v>
      </c>
    </row>
    <row r="18" spans="1:8" x14ac:dyDescent="0.2">
      <c r="A18" s="196" t="s">
        <v>4</v>
      </c>
      <c r="B18" s="197">
        <v>919150</v>
      </c>
      <c r="C18" s="198">
        <v>7.6499999999999999E-2</v>
      </c>
      <c r="F18" s="120" t="str">
        <f>A10</f>
        <v>FICA (Salary X .0765)</v>
      </c>
      <c r="G18" s="121">
        <f>G17*C18</f>
        <v>3825</v>
      </c>
      <c r="H18" s="127">
        <f>H17*C18</f>
        <v>3825</v>
      </c>
    </row>
    <row r="19" spans="1:8" x14ac:dyDescent="0.2">
      <c r="A19" s="196" t="s">
        <v>57</v>
      </c>
      <c r="B19" s="197">
        <v>919050</v>
      </c>
      <c r="C19" s="198">
        <v>0.15210000000000001</v>
      </c>
      <c r="F19" s="120" t="s">
        <v>177</v>
      </c>
      <c r="G19" s="121">
        <f>G17*C21</f>
        <v>10105</v>
      </c>
      <c r="H19" s="127">
        <f>H17*C21</f>
        <v>10105</v>
      </c>
    </row>
    <row r="20" spans="1:8" x14ac:dyDescent="0.2">
      <c r="A20" s="196" t="s">
        <v>7</v>
      </c>
      <c r="B20" s="197">
        <v>918000</v>
      </c>
      <c r="C20" s="198">
        <v>0.12740000000000001</v>
      </c>
      <c r="F20" s="120" t="s">
        <v>0</v>
      </c>
      <c r="G20" s="125">
        <f>C22</f>
        <v>5378</v>
      </c>
      <c r="H20" s="109">
        <f>C22</f>
        <v>5378</v>
      </c>
    </row>
    <row r="21" spans="1:8" x14ac:dyDescent="0.2">
      <c r="A21" s="196" t="s">
        <v>86</v>
      </c>
      <c r="B21" s="197">
        <v>919100</v>
      </c>
      <c r="C21" s="198">
        <v>0.2021</v>
      </c>
      <c r="F21" s="120" t="s">
        <v>95</v>
      </c>
      <c r="G21" s="121">
        <f>SUM(G17:G20)</f>
        <v>69308</v>
      </c>
      <c r="H21" s="127">
        <f>SUM(H17:H20)</f>
        <v>69308</v>
      </c>
    </row>
    <row r="22" spans="1:8" x14ac:dyDescent="0.2">
      <c r="A22" s="196" t="s">
        <v>6</v>
      </c>
      <c r="B22" s="197">
        <v>917000</v>
      </c>
      <c r="C22" s="199">
        <v>5378</v>
      </c>
      <c r="D22" s="34" t="s">
        <v>22</v>
      </c>
      <c r="F22" s="120"/>
      <c r="G22" s="121"/>
      <c r="H22" s="126"/>
    </row>
    <row r="23" spans="1:8" x14ac:dyDescent="0.2">
      <c r="A23" s="196"/>
      <c r="B23" s="191"/>
      <c r="C23" s="192"/>
      <c r="F23" s="174"/>
      <c r="G23" s="175"/>
      <c r="H23" s="176"/>
    </row>
    <row r="24" spans="1:8" x14ac:dyDescent="0.2">
      <c r="A24" s="196" t="s">
        <v>9</v>
      </c>
      <c r="B24" s="200">
        <f>SUM(C18+C19)</f>
        <v>0.22860000000000003</v>
      </c>
      <c r="C24" s="192"/>
      <c r="F24" s="120" t="s">
        <v>72</v>
      </c>
      <c r="G24" s="121">
        <v>50000</v>
      </c>
      <c r="H24" s="41">
        <v>50000</v>
      </c>
    </row>
    <row r="25" spans="1:8" x14ac:dyDescent="0.2">
      <c r="A25" s="196" t="s">
        <v>120</v>
      </c>
      <c r="B25" s="200">
        <f>SUM(C18+C20)</f>
        <v>0.20390000000000003</v>
      </c>
      <c r="C25" s="192"/>
      <c r="F25" s="83" t="s">
        <v>127</v>
      </c>
      <c r="G25" s="42">
        <f>-C22</f>
        <v>-5378</v>
      </c>
      <c r="H25" s="43">
        <f>-C22</f>
        <v>-5378</v>
      </c>
    </row>
    <row r="26" spans="1:8" x14ac:dyDescent="0.2">
      <c r="A26" s="201" t="s">
        <v>119</v>
      </c>
      <c r="B26" s="202">
        <f>SUM(C18+C21)</f>
        <v>0.27860000000000001</v>
      </c>
      <c r="C26" s="203"/>
      <c r="F26" s="120" t="s">
        <v>12</v>
      </c>
      <c r="G26" s="121">
        <f>SUM(G24:G25)</f>
        <v>44622</v>
      </c>
      <c r="H26" s="41">
        <f>SUM(H24:H25)</f>
        <v>44622</v>
      </c>
    </row>
    <row r="27" spans="1:8" x14ac:dyDescent="0.2">
      <c r="F27" s="120"/>
      <c r="G27" s="121"/>
      <c r="H27" s="126"/>
    </row>
    <row r="28" spans="1:8" x14ac:dyDescent="0.2">
      <c r="F28" s="120" t="s">
        <v>76</v>
      </c>
      <c r="G28" s="121">
        <f>G26/1.2786</f>
        <v>34899.108399812292</v>
      </c>
      <c r="H28" s="41">
        <f>H26/1.2786</f>
        <v>34899.108399812292</v>
      </c>
    </row>
    <row r="29" spans="1:8" x14ac:dyDescent="0.2">
      <c r="A29" s="34" t="s">
        <v>128</v>
      </c>
      <c r="F29" s="120" t="str">
        <f>A10</f>
        <v>FICA (Salary X .0765)</v>
      </c>
      <c r="G29" s="121">
        <f>G28*C18</f>
        <v>2669.7817925856402</v>
      </c>
      <c r="H29" s="41">
        <f>H28*C18</f>
        <v>2669.7817925856402</v>
      </c>
    </row>
    <row r="30" spans="1:8" x14ac:dyDescent="0.2">
      <c r="F30" s="120" t="s">
        <v>176</v>
      </c>
      <c r="G30" s="121">
        <f>G28*C21</f>
        <v>7053.1098076020644</v>
      </c>
      <c r="H30" s="41">
        <f>H28*C21</f>
        <v>7053.1098076020644</v>
      </c>
    </row>
    <row r="31" spans="1:8" x14ac:dyDescent="0.2">
      <c r="F31" s="120" t="s">
        <v>0</v>
      </c>
      <c r="G31" s="42">
        <f>C22</f>
        <v>5378</v>
      </c>
      <c r="H31" s="179">
        <f>C22</f>
        <v>5378</v>
      </c>
    </row>
    <row r="32" spans="1:8" x14ac:dyDescent="0.2">
      <c r="F32" s="122" t="s">
        <v>13</v>
      </c>
      <c r="G32" s="47">
        <f>SUM(G28:G31)</f>
        <v>50000</v>
      </c>
      <c r="H32" s="48">
        <f>SUM(H28:H31)</f>
        <v>50000</v>
      </c>
    </row>
    <row r="33" spans="8:8" x14ac:dyDescent="0.2">
      <c r="H33" s="178"/>
    </row>
  </sheetData>
  <pageMargins left="0.75" right="0.75" top="1" bottom="1" header="0.5" footer="0.5"/>
  <pageSetup scale="85" orientation="landscape" cellComments="asDisplayed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/>
  <dimension ref="A1:H33"/>
  <sheetViews>
    <sheetView workbookViewId="0"/>
  </sheetViews>
  <sheetFormatPr defaultColWidth="9.140625" defaultRowHeight="12" x14ac:dyDescent="0.2"/>
  <cols>
    <col min="1" max="1" width="49.42578125" style="34" customWidth="1"/>
    <col min="2" max="2" width="9.42578125" style="34" customWidth="1"/>
    <col min="3" max="3" width="9.85546875" style="34" customWidth="1"/>
    <col min="4" max="4" width="3.42578125" style="34" customWidth="1"/>
    <col min="5" max="5" width="1.5703125" style="34" customWidth="1"/>
    <col min="6" max="6" width="45.42578125" style="34" customWidth="1"/>
    <col min="7" max="7" width="9" style="34" customWidth="1"/>
    <col min="8" max="8" width="9.85546875" style="34" customWidth="1"/>
    <col min="9" max="16384" width="9.140625" style="34"/>
  </cols>
  <sheetData>
    <row r="1" spans="1:8" ht="18" x14ac:dyDescent="0.25">
      <c r="A1" s="82" t="s">
        <v>111</v>
      </c>
    </row>
    <row r="3" spans="1:8" x14ac:dyDescent="0.2">
      <c r="A3" s="35" t="s">
        <v>20</v>
      </c>
      <c r="F3" s="35" t="s">
        <v>21</v>
      </c>
    </row>
    <row r="4" spans="1:8" x14ac:dyDescent="0.2">
      <c r="A4" s="36"/>
      <c r="B4" s="37" t="s">
        <v>10</v>
      </c>
      <c r="C4" s="38" t="s">
        <v>11</v>
      </c>
      <c r="F4" s="36"/>
      <c r="G4" s="37" t="s">
        <v>10</v>
      </c>
      <c r="H4" s="38" t="s">
        <v>11</v>
      </c>
    </row>
    <row r="5" spans="1:8" x14ac:dyDescent="0.2">
      <c r="A5" s="39" t="s">
        <v>72</v>
      </c>
      <c r="B5" s="40">
        <v>100000</v>
      </c>
      <c r="C5" s="41">
        <v>100000</v>
      </c>
      <c r="F5" s="39" t="s">
        <v>73</v>
      </c>
      <c r="G5" s="40">
        <v>50000</v>
      </c>
      <c r="H5" s="41">
        <v>50000</v>
      </c>
    </row>
    <row r="6" spans="1:8" x14ac:dyDescent="0.2">
      <c r="A6" s="83" t="s">
        <v>112</v>
      </c>
      <c r="B6" s="42">
        <f>-C22</f>
        <v>-5285</v>
      </c>
      <c r="C6" s="43">
        <f>-C22</f>
        <v>-5285</v>
      </c>
      <c r="F6" s="39" t="s">
        <v>77</v>
      </c>
      <c r="G6" s="40">
        <f>G5*C18</f>
        <v>3825</v>
      </c>
      <c r="H6" s="41">
        <f>H5*C18</f>
        <v>3825</v>
      </c>
    </row>
    <row r="7" spans="1:8" x14ac:dyDescent="0.2">
      <c r="A7" s="39" t="s">
        <v>12</v>
      </c>
      <c r="B7" s="40">
        <f>SUM(B5:B6)</f>
        <v>94715</v>
      </c>
      <c r="C7" s="41">
        <f>SUM(C5:C6)</f>
        <v>94715</v>
      </c>
      <c r="F7" s="120" t="s">
        <v>113</v>
      </c>
      <c r="G7" s="40">
        <f>G5*C19</f>
        <v>7345</v>
      </c>
      <c r="H7" s="41">
        <f>H5*C20</f>
        <v>6340</v>
      </c>
    </row>
    <row r="8" spans="1:8" x14ac:dyDescent="0.2">
      <c r="A8" s="39"/>
      <c r="B8" s="40"/>
      <c r="C8" s="41"/>
      <c r="F8" s="39" t="s">
        <v>0</v>
      </c>
      <c r="G8" s="42">
        <f>C22</f>
        <v>5285</v>
      </c>
      <c r="H8" s="43">
        <f>C22</f>
        <v>5285</v>
      </c>
    </row>
    <row r="9" spans="1:8" x14ac:dyDescent="0.2">
      <c r="A9" s="39" t="s">
        <v>76</v>
      </c>
      <c r="B9" s="40">
        <f>B7/1.2234</f>
        <v>77419.486676475397</v>
      </c>
      <c r="C9" s="41">
        <f>C7/1.2033</f>
        <v>78712.706723177922</v>
      </c>
      <c r="F9" s="39"/>
      <c r="G9" s="40"/>
      <c r="H9" s="41"/>
    </row>
    <row r="10" spans="1:8" x14ac:dyDescent="0.2">
      <c r="A10" s="39" t="s">
        <v>77</v>
      </c>
      <c r="B10" s="40">
        <f>B9*C18</f>
        <v>5922.5907307503676</v>
      </c>
      <c r="C10" s="41">
        <f>C9*C18</f>
        <v>6021.5220643231105</v>
      </c>
      <c r="F10" s="39" t="s">
        <v>90</v>
      </c>
      <c r="G10" s="40">
        <f>SUM(G5:G8)</f>
        <v>66455</v>
      </c>
      <c r="H10" s="41">
        <f>SUM(H5:H8)</f>
        <v>65450</v>
      </c>
    </row>
    <row r="11" spans="1:8" x14ac:dyDescent="0.2">
      <c r="A11" s="120" t="s">
        <v>113</v>
      </c>
      <c r="B11" s="40">
        <f>B9*C19</f>
        <v>11372.922592774235</v>
      </c>
      <c r="C11" s="41">
        <f>C9*C20</f>
        <v>9980.7712124989594</v>
      </c>
      <c r="F11" s="39"/>
      <c r="G11" s="44"/>
      <c r="H11" s="45"/>
    </row>
    <row r="12" spans="1:8" x14ac:dyDescent="0.2">
      <c r="A12" s="39" t="s">
        <v>0</v>
      </c>
      <c r="B12" s="42">
        <f>C22</f>
        <v>5285</v>
      </c>
      <c r="C12" s="43">
        <f>C22</f>
        <v>5285</v>
      </c>
      <c r="F12" s="39"/>
      <c r="G12" s="44"/>
      <c r="H12" s="45"/>
    </row>
    <row r="13" spans="1:8" x14ac:dyDescent="0.2">
      <c r="A13" s="46" t="s">
        <v>13</v>
      </c>
      <c r="B13" s="47">
        <f>SUM(B9:B12)</f>
        <v>100000</v>
      </c>
      <c r="C13" s="48">
        <f>SUM(C9:C12)</f>
        <v>100000</v>
      </c>
      <c r="F13" s="46"/>
      <c r="G13" s="49"/>
      <c r="H13" s="50"/>
    </row>
    <row r="15" spans="1:8" ht="12.75" x14ac:dyDescent="0.2">
      <c r="A15" s="159" t="s">
        <v>115</v>
      </c>
      <c r="B15" s="160"/>
      <c r="C15" s="161"/>
      <c r="F15" s="116" t="s">
        <v>93</v>
      </c>
      <c r="G15" s="115"/>
      <c r="H15" s="115"/>
    </row>
    <row r="16" spans="1:8" x14ac:dyDescent="0.2">
      <c r="A16" s="162"/>
      <c r="B16" s="163"/>
      <c r="C16" s="164"/>
      <c r="F16" s="117"/>
      <c r="G16" s="118" t="s">
        <v>10</v>
      </c>
      <c r="H16" s="119" t="s">
        <v>11</v>
      </c>
    </row>
    <row r="17" spans="1:8" x14ac:dyDescent="0.2">
      <c r="A17" s="165" t="s">
        <v>1</v>
      </c>
      <c r="B17" s="166" t="s">
        <v>2</v>
      </c>
      <c r="C17" s="167" t="s">
        <v>3</v>
      </c>
      <c r="F17" s="120" t="s">
        <v>73</v>
      </c>
      <c r="G17" s="121">
        <v>50000</v>
      </c>
      <c r="H17" s="127">
        <v>50000</v>
      </c>
    </row>
    <row r="18" spans="1:8" x14ac:dyDescent="0.2">
      <c r="A18" s="168" t="s">
        <v>4</v>
      </c>
      <c r="B18" s="169">
        <v>919150</v>
      </c>
      <c r="C18" s="182">
        <v>7.6499999999999999E-2</v>
      </c>
      <c r="F18" s="120" t="s">
        <v>94</v>
      </c>
      <c r="G18" s="121">
        <f>G17*C18</f>
        <v>3825</v>
      </c>
      <c r="H18" s="127">
        <f>H17*C18</f>
        <v>3825</v>
      </c>
    </row>
    <row r="19" spans="1:8" x14ac:dyDescent="0.2">
      <c r="A19" s="168" t="s">
        <v>57</v>
      </c>
      <c r="B19" s="169">
        <v>919050</v>
      </c>
      <c r="C19" s="182">
        <v>0.1469</v>
      </c>
      <c r="F19" s="120" t="s">
        <v>114</v>
      </c>
      <c r="G19" s="121">
        <f>G17*C21</f>
        <v>9845</v>
      </c>
      <c r="H19" s="127">
        <f>H17*C21</f>
        <v>9845</v>
      </c>
    </row>
    <row r="20" spans="1:8" x14ac:dyDescent="0.2">
      <c r="A20" s="168" t="s">
        <v>7</v>
      </c>
      <c r="B20" s="169">
        <v>918000</v>
      </c>
      <c r="C20" s="182">
        <v>0.1268</v>
      </c>
      <c r="F20" s="120" t="s">
        <v>0</v>
      </c>
      <c r="G20" s="125">
        <f>C22</f>
        <v>5285</v>
      </c>
      <c r="H20" s="109">
        <f>C22</f>
        <v>5285</v>
      </c>
    </row>
    <row r="21" spans="1:8" x14ac:dyDescent="0.2">
      <c r="A21" s="168" t="s">
        <v>86</v>
      </c>
      <c r="B21" s="169">
        <v>919100</v>
      </c>
      <c r="C21" s="182">
        <v>0.19689999999999999</v>
      </c>
      <c r="F21" s="120" t="s">
        <v>95</v>
      </c>
      <c r="G21" s="121">
        <f>SUM(G17:G20)</f>
        <v>68955</v>
      </c>
      <c r="H21" s="127">
        <f>SUM(H17:H20)</f>
        <v>68955</v>
      </c>
    </row>
    <row r="22" spans="1:8" x14ac:dyDescent="0.2">
      <c r="A22" s="168" t="s">
        <v>6</v>
      </c>
      <c r="B22" s="169">
        <v>917000</v>
      </c>
      <c r="C22" s="170">
        <v>5285</v>
      </c>
      <c r="D22" s="34" t="s">
        <v>22</v>
      </c>
      <c r="F22" s="120"/>
      <c r="G22" s="121"/>
      <c r="H22" s="126"/>
    </row>
    <row r="23" spans="1:8" x14ac:dyDescent="0.2">
      <c r="A23" s="168"/>
      <c r="B23" s="163"/>
      <c r="C23" s="164"/>
      <c r="F23" s="174"/>
      <c r="G23" s="175"/>
      <c r="H23" s="176"/>
    </row>
    <row r="24" spans="1:8" x14ac:dyDescent="0.2">
      <c r="A24" s="168" t="s">
        <v>9</v>
      </c>
      <c r="B24" s="180">
        <f>SUM(C18+C19)</f>
        <v>0.22339999999999999</v>
      </c>
      <c r="C24" s="164"/>
      <c r="F24" s="120" t="s">
        <v>72</v>
      </c>
      <c r="G24" s="121">
        <v>50000</v>
      </c>
      <c r="H24" s="41">
        <v>50000</v>
      </c>
    </row>
    <row r="25" spans="1:8" x14ac:dyDescent="0.2">
      <c r="A25" s="168" t="s">
        <v>120</v>
      </c>
      <c r="B25" s="180">
        <f>SUM(C18+C20)</f>
        <v>0.20329999999999998</v>
      </c>
      <c r="C25" s="164"/>
      <c r="F25" s="83" t="s">
        <v>112</v>
      </c>
      <c r="G25" s="42">
        <f>-C22</f>
        <v>-5285</v>
      </c>
      <c r="H25" s="43">
        <f>-C22</f>
        <v>-5285</v>
      </c>
    </row>
    <row r="26" spans="1:8" x14ac:dyDescent="0.2">
      <c r="A26" s="177" t="s">
        <v>119</v>
      </c>
      <c r="B26" s="181">
        <f>SUM(C18+C21)</f>
        <v>0.27339999999999998</v>
      </c>
      <c r="C26" s="172"/>
      <c r="F26" s="120" t="s">
        <v>12</v>
      </c>
      <c r="G26" s="121">
        <f>SUM(G24:G25)</f>
        <v>44715</v>
      </c>
      <c r="H26" s="41">
        <f>SUM(H24:H25)</f>
        <v>44715</v>
      </c>
    </row>
    <row r="27" spans="1:8" x14ac:dyDescent="0.2">
      <c r="F27" s="120"/>
      <c r="G27" s="121"/>
      <c r="H27" s="126"/>
    </row>
    <row r="28" spans="1:8" x14ac:dyDescent="0.2">
      <c r="F28" s="120" t="s">
        <v>76</v>
      </c>
      <c r="G28" s="121">
        <f>G26/1.2734</f>
        <v>35114.653683053242</v>
      </c>
      <c r="H28" s="41">
        <f>H26/1.2734</f>
        <v>35114.653683053242</v>
      </c>
    </row>
    <row r="29" spans="1:8" x14ac:dyDescent="0.2">
      <c r="A29" s="34" t="s">
        <v>123</v>
      </c>
      <c r="F29" s="120" t="s">
        <v>77</v>
      </c>
      <c r="G29" s="121">
        <f>G28*C18</f>
        <v>2686.2710067535731</v>
      </c>
      <c r="H29" s="41">
        <f>H28*C18</f>
        <v>2686.2710067535731</v>
      </c>
    </row>
    <row r="30" spans="1:8" x14ac:dyDescent="0.2">
      <c r="F30" s="120" t="s">
        <v>118</v>
      </c>
      <c r="G30" s="121">
        <f>G28*C21</f>
        <v>6914.0753101931832</v>
      </c>
      <c r="H30" s="41">
        <f>H28*C21</f>
        <v>6914.0753101931832</v>
      </c>
    </row>
    <row r="31" spans="1:8" x14ac:dyDescent="0.2">
      <c r="F31" s="120" t="s">
        <v>0</v>
      </c>
      <c r="G31" s="42">
        <f>C22</f>
        <v>5285</v>
      </c>
      <c r="H31" s="179">
        <f>C22</f>
        <v>5285</v>
      </c>
    </row>
    <row r="32" spans="1:8" x14ac:dyDescent="0.2">
      <c r="F32" s="122" t="s">
        <v>13</v>
      </c>
      <c r="G32" s="47">
        <f>SUM(G28:G31)</f>
        <v>50000</v>
      </c>
      <c r="H32" s="48">
        <f>SUM(H28:H31)</f>
        <v>50000</v>
      </c>
    </row>
    <row r="33" spans="8:8" x14ac:dyDescent="0.2">
      <c r="H33" s="178"/>
    </row>
  </sheetData>
  <pageMargins left="0.75" right="0.75" top="1" bottom="1" header="0.5" footer="0.5"/>
  <pageSetup scale="85" orientation="landscape" cellComments="asDisplayed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/>
  <dimension ref="A1:G30"/>
  <sheetViews>
    <sheetView workbookViewId="0"/>
  </sheetViews>
  <sheetFormatPr defaultColWidth="9.140625" defaultRowHeight="12" x14ac:dyDescent="0.2"/>
  <cols>
    <col min="1" max="1" width="50.42578125" style="34" customWidth="1"/>
    <col min="2" max="2" width="9.5703125" style="34" bestFit="1" customWidth="1"/>
    <col min="3" max="3" width="9" style="34" bestFit="1" customWidth="1"/>
    <col min="4" max="4" width="3.42578125" style="34" customWidth="1"/>
    <col min="5" max="5" width="51.42578125" style="34" bestFit="1" customWidth="1"/>
    <col min="6" max="6" width="9.85546875" style="34" customWidth="1"/>
    <col min="7" max="7" width="9.5703125" style="34" customWidth="1"/>
    <col min="8" max="16384" width="9.140625" style="34"/>
  </cols>
  <sheetData>
    <row r="1" spans="1:7" ht="18" x14ac:dyDescent="0.25">
      <c r="A1" s="82" t="s">
        <v>116</v>
      </c>
    </row>
    <row r="3" spans="1:7" x14ac:dyDescent="0.2">
      <c r="A3" s="35"/>
    </row>
    <row r="4" spans="1:7" ht="12.75" x14ac:dyDescent="0.2">
      <c r="A4" s="141" t="s">
        <v>20</v>
      </c>
      <c r="B4" s="140"/>
      <c r="C4" s="140"/>
      <c r="E4" s="35" t="s">
        <v>21</v>
      </c>
    </row>
    <row r="5" spans="1:7" x14ac:dyDescent="0.2">
      <c r="A5" s="142"/>
      <c r="B5" s="143" t="s">
        <v>10</v>
      </c>
      <c r="C5" s="144" t="s">
        <v>11</v>
      </c>
      <c r="E5" s="117"/>
      <c r="F5" s="118" t="s">
        <v>10</v>
      </c>
      <c r="G5" s="119" t="s">
        <v>11</v>
      </c>
    </row>
    <row r="6" spans="1:7" x14ac:dyDescent="0.2">
      <c r="A6" s="145" t="s">
        <v>72</v>
      </c>
      <c r="B6" s="146">
        <v>100000</v>
      </c>
      <c r="C6" s="147">
        <v>100000</v>
      </c>
      <c r="E6" s="120" t="s">
        <v>73</v>
      </c>
      <c r="F6" s="121">
        <v>60000</v>
      </c>
      <c r="G6" s="41">
        <v>60000</v>
      </c>
    </row>
    <row r="7" spans="1:7" x14ac:dyDescent="0.2">
      <c r="A7" s="153" t="s">
        <v>117</v>
      </c>
      <c r="B7" s="148">
        <f>-C23</f>
        <v>-5285</v>
      </c>
      <c r="C7" s="149">
        <f>-C23</f>
        <v>-5285</v>
      </c>
      <c r="E7" s="145" t="s">
        <v>102</v>
      </c>
      <c r="F7" s="121">
        <f>F6*C20</f>
        <v>4590</v>
      </c>
      <c r="G7" s="41">
        <f>G6*C20</f>
        <v>4590</v>
      </c>
    </row>
    <row r="8" spans="1:7" x14ac:dyDescent="0.2">
      <c r="A8" s="145" t="s">
        <v>12</v>
      </c>
      <c r="B8" s="146">
        <f>SUM(B6:B7)</f>
        <v>94715</v>
      </c>
      <c r="C8" s="147">
        <f>SUM(C6:C7)</f>
        <v>94715</v>
      </c>
      <c r="E8" s="120" t="s">
        <v>113</v>
      </c>
      <c r="F8" s="121">
        <f>F6*C21</f>
        <v>8814</v>
      </c>
      <c r="G8" s="41">
        <f>G6*C22</f>
        <v>7608</v>
      </c>
    </row>
    <row r="9" spans="1:7" x14ac:dyDescent="0.2">
      <c r="A9" s="145"/>
      <c r="B9" s="146"/>
      <c r="C9" s="147"/>
      <c r="E9" s="145" t="s">
        <v>124</v>
      </c>
      <c r="F9" s="121">
        <f>F6*C24</f>
        <v>774</v>
      </c>
      <c r="G9" s="41">
        <f>G6*C24</f>
        <v>774</v>
      </c>
    </row>
    <row r="10" spans="1:7" x14ac:dyDescent="0.2">
      <c r="A10" s="145" t="s">
        <v>101</v>
      </c>
      <c r="B10" s="146">
        <f>B8/1.2374</f>
        <v>76543.559075480836</v>
      </c>
      <c r="C10" s="147">
        <f>C8/1.2173</f>
        <v>77807.442701059714</v>
      </c>
      <c r="E10" s="120" t="s">
        <v>0</v>
      </c>
      <c r="F10" s="42">
        <f>C23</f>
        <v>5285</v>
      </c>
      <c r="G10" s="43">
        <f>C23</f>
        <v>5285</v>
      </c>
    </row>
    <row r="11" spans="1:7" x14ac:dyDescent="0.2">
      <c r="A11" s="145" t="s">
        <v>102</v>
      </c>
      <c r="B11" s="146">
        <f>B10*C20</f>
        <v>5855.582269274284</v>
      </c>
      <c r="C11" s="147">
        <f>C10*C20</f>
        <v>5952.2693666310679</v>
      </c>
      <c r="E11" s="120"/>
      <c r="F11" s="121"/>
      <c r="G11" s="41"/>
    </row>
    <row r="12" spans="1:7" x14ac:dyDescent="0.2">
      <c r="A12" s="120" t="s">
        <v>113</v>
      </c>
      <c r="B12" s="121">
        <f>B10*C21</f>
        <v>11244.248828188134</v>
      </c>
      <c r="C12" s="41">
        <f>C10*C22</f>
        <v>9865.9837344943717</v>
      </c>
      <c r="E12" s="120" t="s">
        <v>90</v>
      </c>
      <c r="F12" s="121">
        <f>SUM(F6:F10)</f>
        <v>79463</v>
      </c>
      <c r="G12" s="41">
        <f>SUM(G6:G10)</f>
        <v>78257</v>
      </c>
    </row>
    <row r="13" spans="1:7" x14ac:dyDescent="0.2">
      <c r="A13" s="145" t="s">
        <v>124</v>
      </c>
      <c r="B13" s="186">
        <f>B10*C24</f>
        <v>987.41191207370275</v>
      </c>
      <c r="C13" s="147">
        <f>C10*C24</f>
        <v>1003.7160108436703</v>
      </c>
      <c r="E13" s="120"/>
      <c r="F13" s="44"/>
      <c r="G13" s="126"/>
    </row>
    <row r="14" spans="1:7" x14ac:dyDescent="0.2">
      <c r="A14" s="145" t="s">
        <v>0</v>
      </c>
      <c r="B14" s="148">
        <f>C23</f>
        <v>5285</v>
      </c>
      <c r="C14" s="149">
        <f>C23</f>
        <v>5285</v>
      </c>
      <c r="E14" s="155" t="s">
        <v>105</v>
      </c>
      <c r="F14" s="156">
        <f>(SUM((F7:F10))/F6)</f>
        <v>0.32438333333333336</v>
      </c>
      <c r="G14" s="157">
        <f>(SUM((G7:G10))/G6)</f>
        <v>0.30428333333333335</v>
      </c>
    </row>
    <row r="15" spans="1:7" x14ac:dyDescent="0.2">
      <c r="A15" s="150" t="s">
        <v>13</v>
      </c>
      <c r="B15" s="151">
        <f>SUM(B10:B14)</f>
        <v>99915.802085016956</v>
      </c>
      <c r="C15" s="152">
        <f>SUM(C10:C14)</f>
        <v>99914.411813028812</v>
      </c>
    </row>
    <row r="16" spans="1:7" x14ac:dyDescent="0.2">
      <c r="B16" s="51"/>
    </row>
    <row r="17" spans="1:4" ht="12.75" x14ac:dyDescent="0.2">
      <c r="A17" s="159" t="s">
        <v>122</v>
      </c>
      <c r="B17" s="160"/>
      <c r="C17" s="161"/>
    </row>
    <row r="18" spans="1:4" x14ac:dyDescent="0.2">
      <c r="A18" s="162"/>
      <c r="B18" s="163"/>
      <c r="C18" s="164"/>
    </row>
    <row r="19" spans="1:4" x14ac:dyDescent="0.2">
      <c r="A19" s="165" t="s">
        <v>1</v>
      </c>
      <c r="B19" s="166" t="s">
        <v>2</v>
      </c>
      <c r="C19" s="167" t="s">
        <v>3</v>
      </c>
    </row>
    <row r="20" spans="1:4" x14ac:dyDescent="0.2">
      <c r="A20" s="168" t="s">
        <v>4</v>
      </c>
      <c r="B20" s="169">
        <v>919150</v>
      </c>
      <c r="C20" s="182">
        <v>7.6499999999999999E-2</v>
      </c>
    </row>
    <row r="21" spans="1:4" x14ac:dyDescent="0.2">
      <c r="A21" s="168" t="s">
        <v>57</v>
      </c>
      <c r="B21" s="169">
        <v>919050</v>
      </c>
      <c r="C21" s="182">
        <v>0.1469</v>
      </c>
    </row>
    <row r="22" spans="1:4" x14ac:dyDescent="0.2">
      <c r="A22" s="168" t="s">
        <v>7</v>
      </c>
      <c r="B22" s="169">
        <v>918000</v>
      </c>
      <c r="C22" s="182">
        <v>0.1268</v>
      </c>
      <c r="D22" s="34" t="s">
        <v>22</v>
      </c>
    </row>
    <row r="23" spans="1:4" x14ac:dyDescent="0.2">
      <c r="A23" s="168" t="s">
        <v>6</v>
      </c>
      <c r="B23" s="169">
        <v>917000</v>
      </c>
      <c r="C23" s="170">
        <v>5285</v>
      </c>
    </row>
    <row r="24" spans="1:4" x14ac:dyDescent="0.2">
      <c r="A24" s="93" t="s">
        <v>121</v>
      </c>
      <c r="B24" s="158">
        <v>919700</v>
      </c>
      <c r="C24" s="183">
        <v>1.29E-2</v>
      </c>
    </row>
    <row r="25" spans="1:4" x14ac:dyDescent="0.2">
      <c r="A25" s="168"/>
      <c r="B25" s="169"/>
      <c r="C25" s="173"/>
    </row>
    <row r="26" spans="1:4" x14ac:dyDescent="0.2">
      <c r="A26" s="168" t="s">
        <v>97</v>
      </c>
      <c r="B26" s="184">
        <f>SUM(C20+C21+C24)</f>
        <v>0.23629999999999998</v>
      </c>
      <c r="C26" s="164"/>
    </row>
    <row r="27" spans="1:4" x14ac:dyDescent="0.2">
      <c r="A27" s="171" t="s">
        <v>98</v>
      </c>
      <c r="B27" s="185">
        <f>C20+C22+C24</f>
        <v>0.21619999999999998</v>
      </c>
      <c r="C27" s="172"/>
    </row>
    <row r="30" spans="1:4" x14ac:dyDescent="0.2">
      <c r="A30" s="34" t="s">
        <v>125</v>
      </c>
    </row>
  </sheetData>
  <pageMargins left="0.75" right="0.75" top="1" bottom="1" header="0.5" footer="0.5"/>
  <pageSetup scale="85" orientation="landscape" cellComments="asDisplayed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G29"/>
  <sheetViews>
    <sheetView workbookViewId="0"/>
  </sheetViews>
  <sheetFormatPr defaultColWidth="9.140625" defaultRowHeight="12" x14ac:dyDescent="0.2"/>
  <cols>
    <col min="1" max="1" width="49.42578125" style="34" customWidth="1"/>
    <col min="2" max="3" width="11.140625" style="34" customWidth="1"/>
    <col min="4" max="4" width="3.42578125" style="34" customWidth="1"/>
    <col min="5" max="5" width="43.5703125" style="34" customWidth="1"/>
    <col min="6" max="6" width="11.42578125" style="34" customWidth="1"/>
    <col min="7" max="7" width="12.5703125" style="34" customWidth="1"/>
    <col min="8" max="16384" width="9.140625" style="34"/>
  </cols>
  <sheetData>
    <row r="1" spans="1:7" ht="18" x14ac:dyDescent="0.25">
      <c r="A1" s="82" t="s">
        <v>106</v>
      </c>
    </row>
    <row r="3" spans="1:7" x14ac:dyDescent="0.2">
      <c r="A3" s="35" t="s">
        <v>20</v>
      </c>
      <c r="E3" s="35" t="s">
        <v>21</v>
      </c>
    </row>
    <row r="4" spans="1:7" x14ac:dyDescent="0.2">
      <c r="A4" s="117"/>
      <c r="B4" s="118" t="s">
        <v>10</v>
      </c>
      <c r="C4" s="119" t="s">
        <v>11</v>
      </c>
      <c r="E4" s="117"/>
      <c r="F4" s="118" t="s">
        <v>10</v>
      </c>
      <c r="G4" s="119" t="s">
        <v>11</v>
      </c>
    </row>
    <row r="5" spans="1:7" x14ac:dyDescent="0.2">
      <c r="A5" s="120" t="s">
        <v>72</v>
      </c>
      <c r="B5" s="121">
        <v>100000</v>
      </c>
      <c r="C5" s="41">
        <v>100000</v>
      </c>
      <c r="E5" s="120" t="s">
        <v>73</v>
      </c>
      <c r="F5" s="121">
        <v>50000</v>
      </c>
      <c r="G5" s="41">
        <v>50000</v>
      </c>
    </row>
    <row r="6" spans="1:7" x14ac:dyDescent="0.2">
      <c r="A6" s="83" t="s">
        <v>91</v>
      </c>
      <c r="B6" s="42">
        <v>-5192</v>
      </c>
      <c r="C6" s="43">
        <v>-5192</v>
      </c>
      <c r="E6" s="120" t="s">
        <v>77</v>
      </c>
      <c r="F6" s="121">
        <f>F5*0.0765</f>
        <v>3825</v>
      </c>
      <c r="G6" s="41">
        <f>G5*0.0765</f>
        <v>3825</v>
      </c>
    </row>
    <row r="7" spans="1:7" x14ac:dyDescent="0.2">
      <c r="A7" s="120" t="s">
        <v>12</v>
      </c>
      <c r="B7" s="121">
        <f>SUM(B5:B6)</f>
        <v>94808</v>
      </c>
      <c r="C7" s="41">
        <f>SUM(C5:C6)</f>
        <v>94808</v>
      </c>
      <c r="E7" s="120" t="s">
        <v>108</v>
      </c>
      <c r="F7" s="121">
        <f>F5*0.1423</f>
        <v>7115.0000000000009</v>
      </c>
      <c r="G7" s="41">
        <f>G5*0.1258</f>
        <v>6290</v>
      </c>
    </row>
    <row r="8" spans="1:7" x14ac:dyDescent="0.2">
      <c r="A8" s="120"/>
      <c r="B8" s="121"/>
      <c r="C8" s="41"/>
      <c r="E8" s="120" t="s">
        <v>0</v>
      </c>
      <c r="F8" s="42">
        <v>5192</v>
      </c>
      <c r="G8" s="43">
        <v>5192</v>
      </c>
    </row>
    <row r="9" spans="1:7" x14ac:dyDescent="0.2">
      <c r="A9" s="120" t="s">
        <v>76</v>
      </c>
      <c r="B9" s="121">
        <f>B7/1.2188</f>
        <v>77787.988185100097</v>
      </c>
      <c r="C9" s="41">
        <f>C7/1.2023</f>
        <v>78855.526906762039</v>
      </c>
      <c r="E9" s="120"/>
      <c r="F9" s="121"/>
      <c r="G9" s="41"/>
    </row>
    <row r="10" spans="1:7" x14ac:dyDescent="0.2">
      <c r="A10" s="120" t="s">
        <v>77</v>
      </c>
      <c r="B10" s="121">
        <f>B9*0.0765</f>
        <v>5950.7810961601572</v>
      </c>
      <c r="C10" s="41">
        <f>C9*0.0765</f>
        <v>6032.4478083672957</v>
      </c>
      <c r="E10" s="120" t="s">
        <v>90</v>
      </c>
      <c r="F10" s="121">
        <f>SUM(F5:F8)</f>
        <v>66132</v>
      </c>
      <c r="G10" s="41">
        <f>SUM(G5:G8)</f>
        <v>65307</v>
      </c>
    </row>
    <row r="11" spans="1:7" x14ac:dyDescent="0.2">
      <c r="A11" s="120" t="s">
        <v>108</v>
      </c>
      <c r="B11" s="121">
        <f>B9*0.1423</f>
        <v>11069.230718739745</v>
      </c>
      <c r="C11" s="41">
        <f>C9*0.1258</f>
        <v>9920.0252848706641</v>
      </c>
      <c r="E11" s="120"/>
      <c r="F11" s="44"/>
      <c r="G11" s="126"/>
    </row>
    <row r="12" spans="1:7" x14ac:dyDescent="0.2">
      <c r="A12" s="120" t="s">
        <v>0</v>
      </c>
      <c r="B12" s="42">
        <v>5192</v>
      </c>
      <c r="C12" s="43">
        <v>5192</v>
      </c>
      <c r="E12" s="120"/>
      <c r="F12" s="44"/>
      <c r="G12" s="126"/>
    </row>
    <row r="13" spans="1:7" x14ac:dyDescent="0.2">
      <c r="A13" s="122" t="s">
        <v>13</v>
      </c>
      <c r="B13" s="47">
        <f>SUM(B9:B12)</f>
        <v>100000</v>
      </c>
      <c r="C13" s="48">
        <f>SUM(C9:C12)</f>
        <v>100000</v>
      </c>
      <c r="E13" s="122"/>
      <c r="F13" s="123"/>
      <c r="G13" s="124"/>
    </row>
    <row r="15" spans="1:7" x14ac:dyDescent="0.2">
      <c r="B15" s="51"/>
    </row>
    <row r="16" spans="1:7" ht="12.75" x14ac:dyDescent="0.2">
      <c r="A16" s="114" t="s">
        <v>92</v>
      </c>
      <c r="B16" s="113"/>
      <c r="C16" s="112"/>
      <c r="E16" s="116" t="s">
        <v>93</v>
      </c>
      <c r="F16" s="115"/>
      <c r="G16" s="115"/>
    </row>
    <row r="17" spans="1:7" x14ac:dyDescent="0.2">
      <c r="A17" s="111"/>
      <c r="B17" s="110"/>
      <c r="C17" s="128"/>
      <c r="E17" s="117"/>
      <c r="F17" s="118" t="s">
        <v>10</v>
      </c>
      <c r="G17" s="119" t="s">
        <v>11</v>
      </c>
    </row>
    <row r="18" spans="1:7" x14ac:dyDescent="0.2">
      <c r="A18" s="129" t="s">
        <v>1</v>
      </c>
      <c r="B18" s="138" t="s">
        <v>2</v>
      </c>
      <c r="C18" s="130" t="s">
        <v>3</v>
      </c>
      <c r="E18" s="120" t="s">
        <v>73</v>
      </c>
      <c r="F18" s="121">
        <v>50000</v>
      </c>
      <c r="G18" s="127">
        <v>50000</v>
      </c>
    </row>
    <row r="19" spans="1:7" x14ac:dyDescent="0.2">
      <c r="A19" s="131" t="s">
        <v>4</v>
      </c>
      <c r="B19" s="137">
        <v>919150</v>
      </c>
      <c r="C19" s="128">
        <v>7.65</v>
      </c>
      <c r="E19" s="120" t="s">
        <v>94</v>
      </c>
      <c r="F19" s="121">
        <f>F18*0.0765</f>
        <v>3825</v>
      </c>
      <c r="G19" s="127">
        <f>G18*0.0765</f>
        <v>3825</v>
      </c>
    </row>
    <row r="20" spans="1:7" x14ac:dyDescent="0.2">
      <c r="A20" s="131" t="s">
        <v>57</v>
      </c>
      <c r="B20" s="137">
        <v>919050</v>
      </c>
      <c r="C20" s="128">
        <v>14.23</v>
      </c>
      <c r="E20" s="120" t="s">
        <v>109</v>
      </c>
      <c r="F20" s="121">
        <f>F18*0.1923</f>
        <v>9615</v>
      </c>
      <c r="G20" s="127">
        <f>G18*0.1923</f>
        <v>9615</v>
      </c>
    </row>
    <row r="21" spans="1:7" x14ac:dyDescent="0.2">
      <c r="A21" s="131" t="s">
        <v>7</v>
      </c>
      <c r="B21" s="137">
        <v>918000</v>
      </c>
      <c r="C21" s="128">
        <v>12.58</v>
      </c>
      <c r="E21" s="120" t="s">
        <v>0</v>
      </c>
      <c r="F21" s="125">
        <v>5192</v>
      </c>
      <c r="G21" s="109">
        <v>5192</v>
      </c>
    </row>
    <row r="22" spans="1:7" x14ac:dyDescent="0.2">
      <c r="A22" s="131" t="s">
        <v>86</v>
      </c>
      <c r="B22" s="137">
        <v>919100</v>
      </c>
      <c r="C22" s="128">
        <v>19.23</v>
      </c>
      <c r="E22" s="120" t="s">
        <v>95</v>
      </c>
      <c r="F22" s="121">
        <f>SUM(F18:F21)</f>
        <v>68632</v>
      </c>
      <c r="G22" s="127">
        <f>SUM(G18:G21)</f>
        <v>68632</v>
      </c>
    </row>
    <row r="23" spans="1:7" x14ac:dyDescent="0.2">
      <c r="A23" s="131" t="s">
        <v>6</v>
      </c>
      <c r="B23" s="137">
        <v>917000</v>
      </c>
      <c r="C23" s="132">
        <v>5192</v>
      </c>
      <c r="D23" s="34" t="s">
        <v>22</v>
      </c>
      <c r="E23" s="120"/>
      <c r="F23" s="121"/>
      <c r="G23" s="126"/>
    </row>
    <row r="24" spans="1:7" x14ac:dyDescent="0.2">
      <c r="A24" s="131"/>
      <c r="B24" s="110"/>
      <c r="C24" s="128"/>
      <c r="E24" s="122"/>
      <c r="F24" s="123"/>
      <c r="G24" s="124"/>
    </row>
    <row r="25" spans="1:7" x14ac:dyDescent="0.2">
      <c r="A25" s="131" t="s">
        <v>9</v>
      </c>
      <c r="B25" s="133">
        <f>C19+C20</f>
        <v>21.880000000000003</v>
      </c>
      <c r="C25" s="128"/>
    </row>
    <row r="26" spans="1:7" x14ac:dyDescent="0.2">
      <c r="A26" s="134" t="s">
        <v>8</v>
      </c>
      <c r="B26" s="135">
        <f>C19+C21</f>
        <v>20.23</v>
      </c>
      <c r="C26" s="136"/>
    </row>
    <row r="29" spans="1:7" x14ac:dyDescent="0.2">
      <c r="A29" s="34" t="s">
        <v>107</v>
      </c>
    </row>
  </sheetData>
  <pageMargins left="0.75" right="0.75" top="1" bottom="1" header="0.5" footer="0.5"/>
  <pageSetup scale="85" orientation="landscape" cellComments="asDisplayed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/>
  <dimension ref="A1:G31"/>
  <sheetViews>
    <sheetView workbookViewId="0"/>
  </sheetViews>
  <sheetFormatPr defaultColWidth="9.140625" defaultRowHeight="12" x14ac:dyDescent="0.2"/>
  <cols>
    <col min="1" max="1" width="50.42578125" style="34" customWidth="1"/>
    <col min="2" max="2" width="9.5703125" style="34" bestFit="1" customWidth="1"/>
    <col min="3" max="3" width="7.5703125" style="34" bestFit="1" customWidth="1"/>
    <col min="4" max="4" width="3.42578125" style="34" customWidth="1"/>
    <col min="5" max="5" width="51.42578125" style="34" bestFit="1" customWidth="1"/>
    <col min="6" max="6" width="9.85546875" style="34" customWidth="1"/>
    <col min="7" max="7" width="9.5703125" style="34" customWidth="1"/>
    <col min="8" max="16384" width="9.140625" style="34"/>
  </cols>
  <sheetData>
    <row r="1" spans="1:7" ht="18" x14ac:dyDescent="0.25">
      <c r="A1" s="82" t="s">
        <v>103</v>
      </c>
    </row>
    <row r="3" spans="1:7" x14ac:dyDescent="0.2">
      <c r="A3" s="35"/>
    </row>
    <row r="4" spans="1:7" ht="12.75" x14ac:dyDescent="0.2">
      <c r="A4" s="141" t="s">
        <v>20</v>
      </c>
      <c r="B4" s="140"/>
      <c r="C4" s="140"/>
      <c r="E4" s="35" t="s">
        <v>21</v>
      </c>
    </row>
    <row r="5" spans="1:7" x14ac:dyDescent="0.2">
      <c r="A5" s="142"/>
      <c r="B5" s="143" t="s">
        <v>10</v>
      </c>
      <c r="C5" s="144" t="s">
        <v>11</v>
      </c>
      <c r="E5" s="117"/>
      <c r="F5" s="118" t="s">
        <v>10</v>
      </c>
      <c r="G5" s="119" t="s">
        <v>11</v>
      </c>
    </row>
    <row r="6" spans="1:7" x14ac:dyDescent="0.2">
      <c r="A6" s="145" t="s">
        <v>72</v>
      </c>
      <c r="B6" s="146">
        <v>100000</v>
      </c>
      <c r="C6" s="147">
        <v>100000</v>
      </c>
      <c r="E6" s="120" t="s">
        <v>73</v>
      </c>
      <c r="F6" s="121">
        <v>50000</v>
      </c>
      <c r="G6" s="41">
        <v>70000</v>
      </c>
    </row>
    <row r="7" spans="1:7" x14ac:dyDescent="0.2">
      <c r="A7" s="153" t="s">
        <v>100</v>
      </c>
      <c r="B7" s="148">
        <v>-5192</v>
      </c>
      <c r="C7" s="149">
        <v>-5192</v>
      </c>
      <c r="E7" s="145" t="s">
        <v>102</v>
      </c>
      <c r="F7" s="121">
        <f>F6*0.0765</f>
        <v>3825</v>
      </c>
      <c r="G7" s="41">
        <f>G6*0.0765</f>
        <v>5355</v>
      </c>
    </row>
    <row r="8" spans="1:7" x14ac:dyDescent="0.2">
      <c r="A8" s="145" t="s">
        <v>12</v>
      </c>
      <c r="B8" s="146">
        <v>94808</v>
      </c>
      <c r="C8" s="147">
        <v>94808</v>
      </c>
      <c r="E8" s="120" t="s">
        <v>108</v>
      </c>
      <c r="F8" s="121">
        <f>F6*0.1423</f>
        <v>7115.0000000000009</v>
      </c>
      <c r="G8" s="41">
        <f>G6*0.1258</f>
        <v>8806</v>
      </c>
    </row>
    <row r="9" spans="1:7" x14ac:dyDescent="0.2">
      <c r="A9" s="145"/>
      <c r="B9" s="146"/>
      <c r="C9" s="147"/>
      <c r="E9" s="145" t="s">
        <v>104</v>
      </c>
      <c r="F9" s="121">
        <f>F6*0.015</f>
        <v>750</v>
      </c>
      <c r="G9" s="41">
        <f>G6*0.015</f>
        <v>1050</v>
      </c>
    </row>
    <row r="10" spans="1:7" x14ac:dyDescent="0.2">
      <c r="A10" s="145" t="s">
        <v>101</v>
      </c>
      <c r="B10" s="146">
        <f>B8/1.2338</f>
        <v>76842.275895607061</v>
      </c>
      <c r="C10" s="147">
        <f>C8/1.2173</f>
        <v>77883.841288096606</v>
      </c>
      <c r="E10" s="120" t="s">
        <v>0</v>
      </c>
      <c r="F10" s="42">
        <v>5192</v>
      </c>
      <c r="G10" s="43">
        <v>5192</v>
      </c>
    </row>
    <row r="11" spans="1:7" x14ac:dyDescent="0.2">
      <c r="A11" s="145" t="s">
        <v>102</v>
      </c>
      <c r="B11" s="146">
        <f>B10*0.0765</f>
        <v>5878.4341060139404</v>
      </c>
      <c r="C11" s="147">
        <f>C10*0.0765</f>
        <v>5958.1138585393901</v>
      </c>
      <c r="E11" s="120"/>
      <c r="F11" s="121"/>
      <c r="G11" s="41"/>
    </row>
    <row r="12" spans="1:7" x14ac:dyDescent="0.2">
      <c r="A12" s="120" t="s">
        <v>108</v>
      </c>
      <c r="B12" s="121">
        <f>B10*0.1423</f>
        <v>10934.655859944885</v>
      </c>
      <c r="C12" s="41">
        <f>C10*0.1258</f>
        <v>9797.7872340425529</v>
      </c>
      <c r="E12" s="120" t="s">
        <v>90</v>
      </c>
      <c r="F12" s="121">
        <f>SUM(F6:F10)</f>
        <v>66882</v>
      </c>
      <c r="G12" s="41">
        <f>SUM(G6:G10)</f>
        <v>90403</v>
      </c>
    </row>
    <row r="13" spans="1:7" x14ac:dyDescent="0.2">
      <c r="A13" s="145" t="s">
        <v>104</v>
      </c>
      <c r="B13" s="146">
        <f>B10*0.015</f>
        <v>1152.6341384341058</v>
      </c>
      <c r="C13" s="147">
        <f>C10*0.015</f>
        <v>1168.2576193214491</v>
      </c>
      <c r="E13" s="120"/>
      <c r="F13" s="44"/>
      <c r="G13" s="126"/>
    </row>
    <row r="14" spans="1:7" x14ac:dyDescent="0.2">
      <c r="A14" s="145" t="s">
        <v>0</v>
      </c>
      <c r="B14" s="148">
        <v>5192</v>
      </c>
      <c r="C14" s="149">
        <v>5192</v>
      </c>
      <c r="E14" s="155" t="s">
        <v>105</v>
      </c>
      <c r="F14" s="156">
        <f>(SUM((F7:F10))/F6)</f>
        <v>0.33764</v>
      </c>
      <c r="G14" s="157">
        <f>(SUM((G7:G10))/G6)</f>
        <v>0.29147142857142855</v>
      </c>
    </row>
    <row r="15" spans="1:7" x14ac:dyDescent="0.2">
      <c r="A15" s="150" t="s">
        <v>13</v>
      </c>
      <c r="B15" s="151">
        <f>SUM(B10:B14)</f>
        <v>100000</v>
      </c>
      <c r="C15" s="152">
        <f>SUM(C10:C14)</f>
        <v>100000</v>
      </c>
    </row>
    <row r="16" spans="1:7" x14ac:dyDescent="0.2">
      <c r="B16" s="51"/>
    </row>
    <row r="17" spans="1:4" ht="12.75" x14ac:dyDescent="0.2">
      <c r="A17" s="114" t="s">
        <v>92</v>
      </c>
      <c r="B17" s="113"/>
      <c r="C17" s="112"/>
    </row>
    <row r="18" spans="1:4" x14ac:dyDescent="0.2">
      <c r="A18" s="111"/>
      <c r="B18" s="110"/>
      <c r="C18" s="128"/>
    </row>
    <row r="19" spans="1:4" x14ac:dyDescent="0.2">
      <c r="A19" s="129" t="s">
        <v>1</v>
      </c>
      <c r="B19" s="138" t="s">
        <v>2</v>
      </c>
      <c r="C19" s="130" t="s">
        <v>3</v>
      </c>
    </row>
    <row r="20" spans="1:4" x14ac:dyDescent="0.2">
      <c r="A20" s="131" t="s">
        <v>4</v>
      </c>
      <c r="B20" s="137">
        <v>919150</v>
      </c>
      <c r="C20" s="128">
        <v>7.65</v>
      </c>
    </row>
    <row r="21" spans="1:4" x14ac:dyDescent="0.2">
      <c r="A21" s="131" t="s">
        <v>57</v>
      </c>
      <c r="B21" s="137">
        <v>919050</v>
      </c>
      <c r="C21" s="128">
        <v>14.23</v>
      </c>
    </row>
    <row r="22" spans="1:4" x14ac:dyDescent="0.2">
      <c r="A22" s="131" t="s">
        <v>7</v>
      </c>
      <c r="B22" s="137">
        <v>918000</v>
      </c>
      <c r="C22" s="128">
        <v>12.58</v>
      </c>
      <c r="D22" s="34" t="s">
        <v>22</v>
      </c>
    </row>
    <row r="23" spans="1:4" x14ac:dyDescent="0.2">
      <c r="A23" s="131" t="s">
        <v>6</v>
      </c>
      <c r="B23" s="137">
        <v>917000</v>
      </c>
      <c r="C23" s="132">
        <v>5192</v>
      </c>
    </row>
    <row r="24" spans="1:4" x14ac:dyDescent="0.2">
      <c r="A24" s="93" t="s">
        <v>96</v>
      </c>
      <c r="B24" s="137">
        <v>919700</v>
      </c>
      <c r="C24" s="139">
        <v>1.5</v>
      </c>
    </row>
    <row r="25" spans="1:4" x14ac:dyDescent="0.2">
      <c r="A25" s="131"/>
      <c r="B25" s="137"/>
      <c r="C25" s="154"/>
    </row>
    <row r="26" spans="1:4" x14ac:dyDescent="0.2">
      <c r="A26" s="131" t="s">
        <v>97</v>
      </c>
      <c r="B26" s="133">
        <f>C20+C21+C24</f>
        <v>23.380000000000003</v>
      </c>
      <c r="C26" s="128"/>
    </row>
    <row r="27" spans="1:4" x14ac:dyDescent="0.2">
      <c r="A27" s="134" t="s">
        <v>98</v>
      </c>
      <c r="B27" s="135">
        <f>C20+C22+C24</f>
        <v>21.73</v>
      </c>
      <c r="C27" s="136"/>
    </row>
    <row r="30" spans="1:4" x14ac:dyDescent="0.2">
      <c r="A30" s="34" t="s">
        <v>110</v>
      </c>
    </row>
    <row r="31" spans="1:4" x14ac:dyDescent="0.2">
      <c r="A31" s="34" t="s">
        <v>99</v>
      </c>
    </row>
  </sheetData>
  <pageMargins left="0.75" right="0.75" top="1" bottom="1" header="0.5" footer="0.5"/>
  <pageSetup scale="85" orientation="landscape" cellComments="asDisplayed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8"/>
  <dimension ref="A1:G29"/>
  <sheetViews>
    <sheetView workbookViewId="0"/>
  </sheetViews>
  <sheetFormatPr defaultColWidth="9.140625" defaultRowHeight="12" x14ac:dyDescent="0.2"/>
  <cols>
    <col min="1" max="1" width="49.42578125" style="34" customWidth="1"/>
    <col min="2" max="3" width="11.140625" style="34" customWidth="1"/>
    <col min="4" max="4" width="3.42578125" style="34" customWidth="1"/>
    <col min="5" max="5" width="45.5703125" style="34" customWidth="1"/>
    <col min="6" max="6" width="11.42578125" style="34" customWidth="1"/>
    <col min="7" max="7" width="12.5703125" style="34" customWidth="1"/>
    <col min="8" max="16384" width="9.140625" style="34"/>
  </cols>
  <sheetData>
    <row r="1" spans="1:7" ht="18" x14ac:dyDescent="0.25">
      <c r="A1" s="82" t="s">
        <v>84</v>
      </c>
    </row>
    <row r="3" spans="1:7" x14ac:dyDescent="0.2">
      <c r="A3" s="35" t="s">
        <v>20</v>
      </c>
      <c r="E3" s="35" t="s">
        <v>21</v>
      </c>
    </row>
    <row r="4" spans="1:7" x14ac:dyDescent="0.2">
      <c r="A4" s="36"/>
      <c r="B4" s="37" t="s">
        <v>10</v>
      </c>
      <c r="C4" s="38" t="s">
        <v>11</v>
      </c>
      <c r="E4" s="36"/>
      <c r="F4" s="37" t="s">
        <v>10</v>
      </c>
      <c r="G4" s="38" t="s">
        <v>11</v>
      </c>
    </row>
    <row r="5" spans="1:7" x14ac:dyDescent="0.2">
      <c r="A5" s="39" t="s">
        <v>72</v>
      </c>
      <c r="B5" s="40">
        <v>100000</v>
      </c>
      <c r="C5" s="41">
        <v>100000</v>
      </c>
      <c r="E5" s="39" t="s">
        <v>73</v>
      </c>
      <c r="F5" s="40">
        <v>50000</v>
      </c>
      <c r="G5" s="41">
        <v>50000</v>
      </c>
    </row>
    <row r="6" spans="1:7" x14ac:dyDescent="0.2">
      <c r="A6" s="83" t="s">
        <v>85</v>
      </c>
      <c r="B6" s="42">
        <v>-4931</v>
      </c>
      <c r="C6" s="43">
        <v>-4931</v>
      </c>
      <c r="E6" s="39" t="s">
        <v>77</v>
      </c>
      <c r="F6" s="40">
        <f>F5*0.0765</f>
        <v>3825</v>
      </c>
      <c r="G6" s="41">
        <f>G5*0.0765</f>
        <v>3825</v>
      </c>
    </row>
    <row r="7" spans="1:7" x14ac:dyDescent="0.2">
      <c r="A7" s="39" t="s">
        <v>12</v>
      </c>
      <c r="B7" s="40">
        <f>SUM(B5:B6)</f>
        <v>95069</v>
      </c>
      <c r="C7" s="41">
        <f>SUM(C5:C6)</f>
        <v>95069</v>
      </c>
      <c r="E7" s="39" t="s">
        <v>87</v>
      </c>
      <c r="F7" s="40">
        <f>F5*0.1312</f>
        <v>6560.0000000000009</v>
      </c>
      <c r="G7" s="41">
        <f>G5*0.1236</f>
        <v>6180</v>
      </c>
    </row>
    <row r="8" spans="1:7" x14ac:dyDescent="0.2">
      <c r="A8" s="39"/>
      <c r="B8" s="40"/>
      <c r="C8" s="41"/>
      <c r="E8" s="39" t="s">
        <v>0</v>
      </c>
      <c r="F8" s="42">
        <v>4931</v>
      </c>
      <c r="G8" s="43">
        <v>4931</v>
      </c>
    </row>
    <row r="9" spans="1:7" x14ac:dyDescent="0.2">
      <c r="A9" s="39" t="s">
        <v>76</v>
      </c>
      <c r="B9" s="40">
        <f>B7/1.2077</f>
        <v>78719.052744886969</v>
      </c>
      <c r="C9" s="41">
        <f>C7/1.2001</f>
        <v>79217.565202899757</v>
      </c>
      <c r="E9" s="39"/>
      <c r="F9" s="40"/>
      <c r="G9" s="41"/>
    </row>
    <row r="10" spans="1:7" x14ac:dyDescent="0.2">
      <c r="A10" s="39" t="s">
        <v>77</v>
      </c>
      <c r="B10" s="40">
        <f>B9*0.0765</f>
        <v>6022.0075349838526</v>
      </c>
      <c r="C10" s="41">
        <f>C9*0.0765</f>
        <v>6060.1437380218313</v>
      </c>
      <c r="E10" s="39" t="s">
        <v>90</v>
      </c>
      <c r="F10" s="40">
        <f>SUM(F5:F8)</f>
        <v>65316</v>
      </c>
      <c r="G10" s="41">
        <f>SUM(G5:G8)</f>
        <v>64936</v>
      </c>
    </row>
    <row r="11" spans="1:7" x14ac:dyDescent="0.2">
      <c r="A11" s="39" t="s">
        <v>87</v>
      </c>
      <c r="B11" s="40">
        <f>B9*0.1312</f>
        <v>10327.93972012917</v>
      </c>
      <c r="C11" s="41">
        <f>C9*0.1236</f>
        <v>9791.2910590784104</v>
      </c>
      <c r="E11" s="39"/>
      <c r="F11" s="44"/>
      <c r="G11" s="45"/>
    </row>
    <row r="12" spans="1:7" x14ac:dyDescent="0.2">
      <c r="A12" s="39" t="s">
        <v>0</v>
      </c>
      <c r="B12" s="42">
        <v>4931</v>
      </c>
      <c r="C12" s="43">
        <v>4931</v>
      </c>
      <c r="E12" s="39"/>
      <c r="F12" s="44"/>
      <c r="G12" s="45"/>
    </row>
    <row r="13" spans="1:7" x14ac:dyDescent="0.2">
      <c r="A13" s="46" t="s">
        <v>13</v>
      </c>
      <c r="B13" s="47">
        <f>SUM(B9:B12)</f>
        <v>100000</v>
      </c>
      <c r="C13" s="48">
        <f>SUM(C9:C12)</f>
        <v>100000</v>
      </c>
      <c r="E13" s="46"/>
      <c r="F13" s="49"/>
      <c r="G13" s="50"/>
    </row>
    <row r="15" spans="1:7" x14ac:dyDescent="0.2">
      <c r="B15" s="51"/>
    </row>
    <row r="16" spans="1:7" ht="12.75" x14ac:dyDescent="0.2">
      <c r="A16" s="84" t="s">
        <v>88</v>
      </c>
      <c r="B16" s="85"/>
      <c r="C16" s="86"/>
    </row>
    <row r="17" spans="1:4" x14ac:dyDescent="0.2">
      <c r="A17" s="87"/>
      <c r="B17" s="88"/>
      <c r="C17" s="89"/>
    </row>
    <row r="18" spans="1:4" x14ac:dyDescent="0.2">
      <c r="A18" s="90" t="s">
        <v>1</v>
      </c>
      <c r="B18" s="91" t="s">
        <v>2</v>
      </c>
      <c r="C18" s="92" t="s">
        <v>3</v>
      </c>
    </row>
    <row r="19" spans="1:4" x14ac:dyDescent="0.2">
      <c r="A19" s="93" t="s">
        <v>4</v>
      </c>
      <c r="B19" s="88">
        <v>919150</v>
      </c>
      <c r="C19" s="89">
        <v>7.65</v>
      </c>
    </row>
    <row r="20" spans="1:4" x14ac:dyDescent="0.2">
      <c r="A20" s="93" t="s">
        <v>57</v>
      </c>
      <c r="B20" s="88">
        <v>919050</v>
      </c>
      <c r="C20" s="89">
        <v>13.12</v>
      </c>
    </row>
    <row r="21" spans="1:4" x14ac:dyDescent="0.2">
      <c r="A21" s="93" t="s">
        <v>7</v>
      </c>
      <c r="B21" s="88">
        <v>918000</v>
      </c>
      <c r="C21" s="89">
        <v>12.36</v>
      </c>
    </row>
    <row r="22" spans="1:4" x14ac:dyDescent="0.2">
      <c r="A22" s="93" t="s">
        <v>86</v>
      </c>
      <c r="B22" s="88">
        <v>919100</v>
      </c>
      <c r="C22" s="89">
        <v>18.12</v>
      </c>
    </row>
    <row r="23" spans="1:4" x14ac:dyDescent="0.2">
      <c r="A23" s="93" t="s">
        <v>6</v>
      </c>
      <c r="B23" s="88">
        <v>917000</v>
      </c>
      <c r="C23" s="94">
        <v>4931</v>
      </c>
      <c r="D23" s="34" t="s">
        <v>22</v>
      </c>
    </row>
    <row r="24" spans="1:4" x14ac:dyDescent="0.2">
      <c r="A24" s="93"/>
      <c r="B24" s="88"/>
      <c r="C24" s="89"/>
    </row>
    <row r="25" spans="1:4" x14ac:dyDescent="0.2">
      <c r="A25" s="93" t="s">
        <v>9</v>
      </c>
      <c r="B25" s="97">
        <f>C19+C20</f>
        <v>20.77</v>
      </c>
      <c r="C25" s="89"/>
    </row>
    <row r="26" spans="1:4" x14ac:dyDescent="0.2">
      <c r="A26" s="95" t="s">
        <v>8</v>
      </c>
      <c r="B26" s="98">
        <f>C19+C21</f>
        <v>20.009999999999998</v>
      </c>
      <c r="C26" s="96"/>
    </row>
    <row r="29" spans="1:4" x14ac:dyDescent="0.2">
      <c r="A29" s="34" t="s">
        <v>89</v>
      </c>
    </row>
  </sheetData>
  <pageMargins left="0.75" right="0.75" top="1" bottom="1" header="0.5" footer="0.5"/>
  <pageSetup scale="85" orientation="landscape" cellComments="asDisplayed" r:id="rId1"/>
  <headerFooter alignWithMargins="0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9"/>
  <dimension ref="A1:G29"/>
  <sheetViews>
    <sheetView workbookViewId="0"/>
  </sheetViews>
  <sheetFormatPr defaultColWidth="9.140625" defaultRowHeight="12" x14ac:dyDescent="0.2"/>
  <cols>
    <col min="1" max="1" width="49.42578125" style="34" customWidth="1"/>
    <col min="2" max="3" width="11.140625" style="34" customWidth="1"/>
    <col min="4" max="4" width="3.42578125" style="34" customWidth="1"/>
    <col min="5" max="5" width="45.5703125" style="34" customWidth="1"/>
    <col min="6" max="6" width="11.42578125" style="34" customWidth="1"/>
    <col min="7" max="7" width="12.5703125" style="34" customWidth="1"/>
    <col min="8" max="16384" width="9.140625" style="34"/>
  </cols>
  <sheetData>
    <row r="1" spans="1:7" ht="18" x14ac:dyDescent="0.25">
      <c r="A1" s="82" t="s">
        <v>80</v>
      </c>
    </row>
    <row r="3" spans="1:7" x14ac:dyDescent="0.2">
      <c r="A3" s="35" t="s">
        <v>20</v>
      </c>
      <c r="E3" s="35" t="s">
        <v>21</v>
      </c>
    </row>
    <row r="4" spans="1:7" x14ac:dyDescent="0.2">
      <c r="A4" s="36"/>
      <c r="B4" s="37" t="s">
        <v>10</v>
      </c>
      <c r="C4" s="38" t="s">
        <v>11</v>
      </c>
      <c r="E4" s="36"/>
      <c r="F4" s="37" t="s">
        <v>10</v>
      </c>
      <c r="G4" s="38" t="s">
        <v>11</v>
      </c>
    </row>
    <row r="5" spans="1:7" x14ac:dyDescent="0.2">
      <c r="A5" s="39" t="s">
        <v>72</v>
      </c>
      <c r="B5" s="40">
        <v>100000</v>
      </c>
      <c r="C5" s="41">
        <v>100000</v>
      </c>
      <c r="E5" s="39" t="s">
        <v>73</v>
      </c>
      <c r="F5" s="40">
        <v>50000</v>
      </c>
      <c r="G5" s="41">
        <v>50000</v>
      </c>
    </row>
    <row r="6" spans="1:7" x14ac:dyDescent="0.2">
      <c r="A6" s="83" t="s">
        <v>83</v>
      </c>
      <c r="B6" s="42">
        <v>-4929</v>
      </c>
      <c r="C6" s="43">
        <v>-4929</v>
      </c>
      <c r="E6" s="39" t="s">
        <v>77</v>
      </c>
      <c r="F6" s="40">
        <f>F5*0.0765</f>
        <v>3825</v>
      </c>
      <c r="G6" s="41">
        <f>G5*0.0765</f>
        <v>3825</v>
      </c>
    </row>
    <row r="7" spans="1:7" x14ac:dyDescent="0.2">
      <c r="A7" s="39" t="s">
        <v>12</v>
      </c>
      <c r="B7" s="40">
        <f>SUM(B5:B6)</f>
        <v>95071</v>
      </c>
      <c r="C7" s="41">
        <f>SUM(C5:C6)</f>
        <v>95071</v>
      </c>
      <c r="E7" s="39" t="s">
        <v>78</v>
      </c>
      <c r="F7" s="40">
        <f>F5*0.1051</f>
        <v>5255</v>
      </c>
      <c r="G7" s="41">
        <f>G5*0.1226</f>
        <v>6130</v>
      </c>
    </row>
    <row r="8" spans="1:7" x14ac:dyDescent="0.2">
      <c r="A8" s="39"/>
      <c r="B8" s="40"/>
      <c r="C8" s="41"/>
      <c r="E8" s="39" t="s">
        <v>0</v>
      </c>
      <c r="F8" s="42">
        <v>4929</v>
      </c>
      <c r="G8" s="43">
        <v>4929</v>
      </c>
    </row>
    <row r="9" spans="1:7" x14ac:dyDescent="0.2">
      <c r="A9" s="39" t="s">
        <v>76</v>
      </c>
      <c r="B9" s="40">
        <f>B7/1.1816</f>
        <v>80459.546377792823</v>
      </c>
      <c r="C9" s="41">
        <f>C7/1.1991</f>
        <v>79285.297306313063</v>
      </c>
      <c r="E9" s="39"/>
      <c r="F9" s="40"/>
      <c r="G9" s="41"/>
    </row>
    <row r="10" spans="1:7" x14ac:dyDescent="0.2">
      <c r="A10" s="39" t="s">
        <v>77</v>
      </c>
      <c r="B10" s="40">
        <f>B9*0.0765</f>
        <v>6155.1552979011512</v>
      </c>
      <c r="C10" s="41">
        <f>C9*0.0765</f>
        <v>6065.325243932949</v>
      </c>
      <c r="E10" s="39" t="s">
        <v>19</v>
      </c>
      <c r="F10" s="40">
        <f>SUM(F5:F8)</f>
        <v>64009</v>
      </c>
      <c r="G10" s="41">
        <f>SUM(G5:G8)</f>
        <v>64884</v>
      </c>
    </row>
    <row r="11" spans="1:7" x14ac:dyDescent="0.2">
      <c r="A11" s="39" t="s">
        <v>82</v>
      </c>
      <c r="B11" s="40">
        <f>B9*0.1051</f>
        <v>8456.2983243060262</v>
      </c>
      <c r="C11" s="41">
        <f>C9*0.1226</f>
        <v>9720.3774497539816</v>
      </c>
      <c r="E11" s="39"/>
      <c r="F11" s="44"/>
      <c r="G11" s="45"/>
    </row>
    <row r="12" spans="1:7" x14ac:dyDescent="0.2">
      <c r="A12" s="39" t="s">
        <v>0</v>
      </c>
      <c r="B12" s="42">
        <v>4929</v>
      </c>
      <c r="C12" s="43">
        <v>4929</v>
      </c>
      <c r="E12" s="39"/>
      <c r="F12" s="44"/>
      <c r="G12" s="45"/>
    </row>
    <row r="13" spans="1:7" x14ac:dyDescent="0.2">
      <c r="A13" s="46" t="s">
        <v>13</v>
      </c>
      <c r="B13" s="47">
        <f>SUM(B9:B12)</f>
        <v>100000</v>
      </c>
      <c r="C13" s="48">
        <f>SUM(C9:C12)</f>
        <v>100000</v>
      </c>
      <c r="E13" s="46"/>
      <c r="F13" s="49"/>
      <c r="G13" s="50"/>
    </row>
    <row r="15" spans="1:7" x14ac:dyDescent="0.2">
      <c r="B15" s="51"/>
    </row>
    <row r="16" spans="1:7" x14ac:dyDescent="0.2">
      <c r="A16" s="67" t="s">
        <v>79</v>
      </c>
      <c r="B16" s="68"/>
      <c r="C16" s="69"/>
    </row>
    <row r="17" spans="1:4" x14ac:dyDescent="0.2">
      <c r="A17" s="70"/>
      <c r="B17" s="71"/>
      <c r="C17" s="72"/>
    </row>
    <row r="18" spans="1:4" x14ac:dyDescent="0.2">
      <c r="A18" s="73" t="s">
        <v>1</v>
      </c>
      <c r="B18" s="74" t="s">
        <v>2</v>
      </c>
      <c r="C18" s="75" t="s">
        <v>3</v>
      </c>
    </row>
    <row r="19" spans="1:4" x14ac:dyDescent="0.2">
      <c r="A19" s="76" t="s">
        <v>4</v>
      </c>
      <c r="B19" s="71">
        <v>919150</v>
      </c>
      <c r="C19" s="72">
        <v>7.65</v>
      </c>
    </row>
    <row r="20" spans="1:4" x14ac:dyDescent="0.2">
      <c r="A20" s="76" t="s">
        <v>57</v>
      </c>
      <c r="B20" s="71">
        <v>919050</v>
      </c>
      <c r="C20" s="72">
        <v>10.51</v>
      </c>
    </row>
    <row r="21" spans="1:4" x14ac:dyDescent="0.2">
      <c r="A21" s="76" t="s">
        <v>7</v>
      </c>
      <c r="B21" s="71">
        <v>918000</v>
      </c>
      <c r="C21" s="72">
        <v>12.26</v>
      </c>
    </row>
    <row r="22" spans="1:4" x14ac:dyDescent="0.2">
      <c r="A22" s="76" t="s">
        <v>5</v>
      </c>
      <c r="B22" s="71">
        <v>919100</v>
      </c>
      <c r="C22" s="72">
        <v>15.51</v>
      </c>
    </row>
    <row r="23" spans="1:4" x14ac:dyDescent="0.2">
      <c r="A23" s="76" t="s">
        <v>6</v>
      </c>
      <c r="B23" s="71">
        <v>917000</v>
      </c>
      <c r="C23" s="77">
        <v>4929</v>
      </c>
      <c r="D23" s="34" t="s">
        <v>22</v>
      </c>
    </row>
    <row r="24" spans="1:4" x14ac:dyDescent="0.2">
      <c r="A24" s="76"/>
      <c r="B24" s="71"/>
      <c r="C24" s="72"/>
    </row>
    <row r="25" spans="1:4" x14ac:dyDescent="0.2">
      <c r="A25" s="76" t="s">
        <v>9</v>
      </c>
      <c r="B25" s="78">
        <f>C19+C20</f>
        <v>18.16</v>
      </c>
      <c r="C25" s="72"/>
    </row>
    <row r="26" spans="1:4" x14ac:dyDescent="0.2">
      <c r="A26" s="79" t="s">
        <v>8</v>
      </c>
      <c r="B26" s="80">
        <f>C19+C21</f>
        <v>19.91</v>
      </c>
      <c r="C26" s="81"/>
    </row>
    <row r="29" spans="1:4" x14ac:dyDescent="0.2">
      <c r="A29" s="34" t="s">
        <v>81</v>
      </c>
    </row>
  </sheetData>
  <pageMargins left="0.75" right="0.75" top="1" bottom="1" header="0.5" footer="0.5"/>
  <pageSetup scale="85" orientation="landscape" cellComments="asDisplayed" r:id="rId1"/>
  <headerFooter alignWithMargins="0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0"/>
  <dimension ref="A1:G29"/>
  <sheetViews>
    <sheetView workbookViewId="0"/>
  </sheetViews>
  <sheetFormatPr defaultColWidth="9.140625" defaultRowHeight="12" x14ac:dyDescent="0.2"/>
  <cols>
    <col min="1" max="1" width="49.42578125" style="34" customWidth="1"/>
    <col min="2" max="3" width="11.140625" style="34" customWidth="1"/>
    <col min="4" max="4" width="3.42578125" style="34" customWidth="1"/>
    <col min="5" max="5" width="45.5703125" style="34" customWidth="1"/>
    <col min="6" max="6" width="11.42578125" style="34" customWidth="1"/>
    <col min="7" max="7" width="12.5703125" style="34" customWidth="1"/>
    <col min="8" max="16384" width="9.140625" style="34"/>
  </cols>
  <sheetData>
    <row r="1" spans="1:7" x14ac:dyDescent="0.2">
      <c r="A1" s="33" t="s">
        <v>68</v>
      </c>
    </row>
    <row r="3" spans="1:7" x14ac:dyDescent="0.2">
      <c r="A3" s="35" t="s">
        <v>20</v>
      </c>
      <c r="E3" s="35" t="s">
        <v>21</v>
      </c>
    </row>
    <row r="4" spans="1:7" x14ac:dyDescent="0.2">
      <c r="A4" s="36"/>
      <c r="B4" s="37" t="s">
        <v>10</v>
      </c>
      <c r="C4" s="38" t="s">
        <v>11</v>
      </c>
      <c r="E4" s="36"/>
      <c r="F4" s="37" t="s">
        <v>10</v>
      </c>
      <c r="G4" s="38" t="s">
        <v>11</v>
      </c>
    </row>
    <row r="5" spans="1:7" x14ac:dyDescent="0.2">
      <c r="A5" s="39" t="s">
        <v>72</v>
      </c>
      <c r="B5" s="40">
        <v>100000</v>
      </c>
      <c r="C5" s="41">
        <v>100000</v>
      </c>
      <c r="E5" s="39" t="s">
        <v>73</v>
      </c>
      <c r="F5" s="40">
        <v>50000</v>
      </c>
      <c r="G5" s="41">
        <v>50000</v>
      </c>
    </row>
    <row r="6" spans="1:7" x14ac:dyDescent="0.2">
      <c r="A6" s="39" t="s">
        <v>71</v>
      </c>
      <c r="B6" s="42">
        <v>-4527</v>
      </c>
      <c r="C6" s="43">
        <v>-4527</v>
      </c>
      <c r="E6" s="39" t="s">
        <v>74</v>
      </c>
      <c r="F6" s="40">
        <f>F5*0.0765</f>
        <v>3825</v>
      </c>
      <c r="G6" s="41">
        <f>G5*0.0765</f>
        <v>3825</v>
      </c>
    </row>
    <row r="7" spans="1:7" x14ac:dyDescent="0.2">
      <c r="A7" s="39" t="s">
        <v>12</v>
      </c>
      <c r="B7" s="40">
        <f>SUM(B5:B6)</f>
        <v>95473</v>
      </c>
      <c r="C7" s="41">
        <f>SUM(C5:C6)</f>
        <v>95473</v>
      </c>
      <c r="E7" s="39" t="s">
        <v>75</v>
      </c>
      <c r="F7" s="40">
        <f>F5*0.0875</f>
        <v>4375</v>
      </c>
      <c r="G7" s="41">
        <f>G5*0.1186</f>
        <v>5930</v>
      </c>
    </row>
    <row r="8" spans="1:7" x14ac:dyDescent="0.2">
      <c r="A8" s="39"/>
      <c r="B8" s="40"/>
      <c r="C8" s="41"/>
      <c r="E8" s="39" t="s">
        <v>0</v>
      </c>
      <c r="F8" s="42">
        <v>4527</v>
      </c>
      <c r="G8" s="43">
        <v>4527</v>
      </c>
    </row>
    <row r="9" spans="1:7" x14ac:dyDescent="0.2">
      <c r="A9" s="39" t="s">
        <v>76</v>
      </c>
      <c r="B9" s="40">
        <f>B7/1.164</f>
        <v>82021.477663230253</v>
      </c>
      <c r="C9" s="41">
        <f>C7/1.1951</f>
        <v>79887.038741527896</v>
      </c>
      <c r="E9" s="39"/>
      <c r="F9" s="40"/>
      <c r="G9" s="41"/>
    </row>
    <row r="10" spans="1:7" x14ac:dyDescent="0.2">
      <c r="A10" s="39" t="s">
        <v>77</v>
      </c>
      <c r="B10" s="40">
        <f>B9*0.0765</f>
        <v>6274.6430412371146</v>
      </c>
      <c r="C10" s="41">
        <f>C9*0.0765</f>
        <v>6111.3584637268841</v>
      </c>
      <c r="E10" s="39" t="s">
        <v>19</v>
      </c>
      <c r="F10" s="40">
        <f>SUM(F5:F8)</f>
        <v>62727</v>
      </c>
      <c r="G10" s="41">
        <f>SUM(G5:G8)</f>
        <v>64282</v>
      </c>
    </row>
    <row r="11" spans="1:7" x14ac:dyDescent="0.2">
      <c r="A11" s="39" t="s">
        <v>75</v>
      </c>
      <c r="B11" s="40">
        <f>B9*0.0875</f>
        <v>7176.8792955326462</v>
      </c>
      <c r="C11" s="41">
        <f>C9*0.1186</f>
        <v>9474.6027947452076</v>
      </c>
      <c r="E11" s="39"/>
      <c r="F11" s="44"/>
      <c r="G11" s="45"/>
    </row>
    <row r="12" spans="1:7" x14ac:dyDescent="0.2">
      <c r="A12" s="39" t="s">
        <v>0</v>
      </c>
      <c r="B12" s="42">
        <v>4527</v>
      </c>
      <c r="C12" s="43">
        <v>4527</v>
      </c>
      <c r="E12" s="39"/>
      <c r="F12" s="44"/>
      <c r="G12" s="45"/>
    </row>
    <row r="13" spans="1:7" x14ac:dyDescent="0.2">
      <c r="A13" s="46" t="s">
        <v>13</v>
      </c>
      <c r="B13" s="47">
        <f>SUM(B9:B12)</f>
        <v>100000.00000000001</v>
      </c>
      <c r="C13" s="48">
        <f>SUM(C9:C12)</f>
        <v>99999.999999999985</v>
      </c>
      <c r="E13" s="46"/>
      <c r="F13" s="49"/>
      <c r="G13" s="50"/>
    </row>
    <row r="15" spans="1:7" x14ac:dyDescent="0.2">
      <c r="B15" s="51"/>
    </row>
    <row r="16" spans="1:7" x14ac:dyDescent="0.2">
      <c r="A16" s="52" t="s">
        <v>69</v>
      </c>
      <c r="B16" s="53"/>
      <c r="C16" s="54"/>
    </row>
    <row r="17" spans="1:4" x14ac:dyDescent="0.2">
      <c r="A17" s="55"/>
      <c r="B17" s="56"/>
      <c r="C17" s="57"/>
    </row>
    <row r="18" spans="1:4" x14ac:dyDescent="0.2">
      <c r="A18" s="58" t="s">
        <v>1</v>
      </c>
      <c r="B18" s="59" t="s">
        <v>2</v>
      </c>
      <c r="C18" s="60" t="s">
        <v>3</v>
      </c>
    </row>
    <row r="19" spans="1:4" x14ac:dyDescent="0.2">
      <c r="A19" s="61" t="s">
        <v>4</v>
      </c>
      <c r="B19" s="56">
        <v>919150</v>
      </c>
      <c r="C19" s="57">
        <v>7.65</v>
      </c>
    </row>
    <row r="20" spans="1:4" x14ac:dyDescent="0.2">
      <c r="A20" s="61" t="s">
        <v>57</v>
      </c>
      <c r="B20" s="56">
        <v>919050</v>
      </c>
      <c r="C20" s="57">
        <v>8.75</v>
      </c>
    </row>
    <row r="21" spans="1:4" x14ac:dyDescent="0.2">
      <c r="A21" s="61" t="s">
        <v>7</v>
      </c>
      <c r="B21" s="56">
        <v>918000</v>
      </c>
      <c r="C21" s="57">
        <v>11.86</v>
      </c>
    </row>
    <row r="22" spans="1:4" x14ac:dyDescent="0.2">
      <c r="A22" s="61" t="s">
        <v>5</v>
      </c>
      <c r="B22" s="56">
        <v>919100</v>
      </c>
      <c r="C22" s="57">
        <v>13.54</v>
      </c>
    </row>
    <row r="23" spans="1:4" x14ac:dyDescent="0.2">
      <c r="A23" s="61" t="s">
        <v>6</v>
      </c>
      <c r="B23" s="56">
        <v>917000</v>
      </c>
      <c r="C23" s="62">
        <v>4527</v>
      </c>
      <c r="D23" s="34" t="s">
        <v>22</v>
      </c>
    </row>
    <row r="24" spans="1:4" x14ac:dyDescent="0.2">
      <c r="A24" s="61"/>
      <c r="B24" s="56"/>
      <c r="C24" s="57"/>
    </row>
    <row r="25" spans="1:4" x14ac:dyDescent="0.2">
      <c r="A25" s="61" t="s">
        <v>9</v>
      </c>
      <c r="B25" s="63">
        <f>C19+C20</f>
        <v>16.399999999999999</v>
      </c>
      <c r="C25" s="57"/>
    </row>
    <row r="26" spans="1:4" x14ac:dyDescent="0.2">
      <c r="A26" s="64" t="s">
        <v>8</v>
      </c>
      <c r="B26" s="65">
        <f>C19+C21</f>
        <v>19.509999999999998</v>
      </c>
      <c r="C26" s="66"/>
    </row>
    <row r="29" spans="1:4" x14ac:dyDescent="0.2">
      <c r="A29" s="34" t="s">
        <v>70</v>
      </c>
    </row>
  </sheetData>
  <phoneticPr fontId="6" type="noConversion"/>
  <pageMargins left="0.75" right="0.75" top="1" bottom="1" header="0.5" footer="0.5"/>
  <pageSetup scale="85" orientation="landscape" cellComments="asDisplayed" r:id="rId1"/>
  <headerFooter alignWithMargins="0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1"/>
  <dimension ref="A1:G29"/>
  <sheetViews>
    <sheetView workbookViewId="0"/>
  </sheetViews>
  <sheetFormatPr defaultRowHeight="12.75" x14ac:dyDescent="0.2"/>
  <cols>
    <col min="1" max="1" width="49.42578125" customWidth="1"/>
    <col min="2" max="3" width="11.140625" customWidth="1"/>
    <col min="4" max="4" width="3.42578125" customWidth="1"/>
    <col min="5" max="5" width="45.5703125" customWidth="1"/>
    <col min="6" max="6" width="11.42578125" customWidth="1"/>
    <col min="7" max="7" width="12.5703125" customWidth="1"/>
  </cols>
  <sheetData>
    <row r="1" spans="1:7" x14ac:dyDescent="0.2">
      <c r="A1" s="18" t="s">
        <v>63</v>
      </c>
    </row>
    <row r="3" spans="1:7" x14ac:dyDescent="0.2">
      <c r="A3" s="1" t="s">
        <v>20</v>
      </c>
      <c r="E3" s="1" t="s">
        <v>21</v>
      </c>
    </row>
    <row r="4" spans="1:7" x14ac:dyDescent="0.2">
      <c r="A4" s="12"/>
      <c r="B4" s="16" t="s">
        <v>10</v>
      </c>
      <c r="C4" s="17" t="s">
        <v>11</v>
      </c>
      <c r="E4" s="12"/>
      <c r="F4" s="16" t="s">
        <v>10</v>
      </c>
      <c r="G4" s="17" t="s">
        <v>11</v>
      </c>
    </row>
    <row r="5" spans="1:7" x14ac:dyDescent="0.2">
      <c r="A5" s="5" t="s">
        <v>16</v>
      </c>
      <c r="B5" s="10">
        <v>100000</v>
      </c>
      <c r="C5" s="13">
        <v>100000</v>
      </c>
      <c r="E5" s="5" t="s">
        <v>15</v>
      </c>
      <c r="F5" s="10">
        <v>50000</v>
      </c>
      <c r="G5" s="13">
        <v>50000</v>
      </c>
    </row>
    <row r="6" spans="1:7" x14ac:dyDescent="0.2">
      <c r="A6" s="5" t="s">
        <v>66</v>
      </c>
      <c r="B6" s="11">
        <v>-4157</v>
      </c>
      <c r="C6" s="14">
        <v>-4157</v>
      </c>
      <c r="E6" s="5" t="s">
        <v>18</v>
      </c>
      <c r="F6" s="10">
        <f>F5*0.0765</f>
        <v>3825</v>
      </c>
      <c r="G6" s="13">
        <f>G5*0.0765</f>
        <v>3825</v>
      </c>
    </row>
    <row r="7" spans="1:7" x14ac:dyDescent="0.2">
      <c r="A7" s="5" t="s">
        <v>12</v>
      </c>
      <c r="B7" s="10">
        <f>SUM(B5:B6)</f>
        <v>95843</v>
      </c>
      <c r="C7" s="13">
        <f>SUM(C5:C6)</f>
        <v>95843</v>
      </c>
      <c r="E7" s="5" t="s">
        <v>64</v>
      </c>
      <c r="F7" s="10">
        <f>F5*0.0814</f>
        <v>4070</v>
      </c>
      <c r="G7" s="13">
        <f>G5*0.1146</f>
        <v>5730</v>
      </c>
    </row>
    <row r="8" spans="1:7" x14ac:dyDescent="0.2">
      <c r="A8" s="5"/>
      <c r="B8" s="10"/>
      <c r="C8" s="13"/>
      <c r="E8" s="5" t="s">
        <v>0</v>
      </c>
      <c r="F8" s="11">
        <v>4157</v>
      </c>
      <c r="G8" s="14">
        <v>4157</v>
      </c>
    </row>
    <row r="9" spans="1:7" x14ac:dyDescent="0.2">
      <c r="A9" s="5" t="s">
        <v>17</v>
      </c>
      <c r="B9" s="10">
        <f>B7/1.1579</f>
        <v>82773.123758528382</v>
      </c>
      <c r="C9" s="13">
        <f>C7/1.1911</f>
        <v>80465.955839140282</v>
      </c>
      <c r="E9" s="5"/>
      <c r="F9" s="10"/>
      <c r="G9" s="13"/>
    </row>
    <row r="10" spans="1:7" x14ac:dyDescent="0.2">
      <c r="A10" s="5" t="s">
        <v>14</v>
      </c>
      <c r="B10" s="10">
        <f>B9*0.0765</f>
        <v>6332.1439675274214</v>
      </c>
      <c r="C10" s="13">
        <f>C9*0.0765</f>
        <v>6155.6456216942315</v>
      </c>
      <c r="E10" s="5" t="s">
        <v>19</v>
      </c>
      <c r="F10" s="10">
        <f>SUM(F5:F8)</f>
        <v>62052</v>
      </c>
      <c r="G10" s="13">
        <f>SUM(G5:G8)</f>
        <v>63712</v>
      </c>
    </row>
    <row r="11" spans="1:7" x14ac:dyDescent="0.2">
      <c r="A11" s="5" t="s">
        <v>64</v>
      </c>
      <c r="B11" s="10">
        <f>B9*0.0814</f>
        <v>6737.7322739442106</v>
      </c>
      <c r="C11" s="13">
        <f>C9*0.1146</f>
        <v>9221.3985391654751</v>
      </c>
      <c r="E11" s="5"/>
      <c r="F11" s="6"/>
      <c r="G11" s="7"/>
    </row>
    <row r="12" spans="1:7" x14ac:dyDescent="0.2">
      <c r="A12" s="5" t="s">
        <v>0</v>
      </c>
      <c r="B12" s="11">
        <v>4157</v>
      </c>
      <c r="C12" s="14">
        <v>4157</v>
      </c>
      <c r="E12" s="5"/>
      <c r="F12" s="6"/>
      <c r="G12" s="7"/>
    </row>
    <row r="13" spans="1:7" x14ac:dyDescent="0.2">
      <c r="A13" s="8" t="s">
        <v>13</v>
      </c>
      <c r="B13" s="3">
        <f>SUM(B9:B12)</f>
        <v>100000.00000000001</v>
      </c>
      <c r="C13" s="15">
        <f>SUM(C9:C12)</f>
        <v>99999.999999999985</v>
      </c>
      <c r="E13" s="8"/>
      <c r="F13" s="2"/>
      <c r="G13" s="9"/>
    </row>
    <row r="15" spans="1:7" x14ac:dyDescent="0.2">
      <c r="B15" s="4"/>
    </row>
    <row r="16" spans="1:7" x14ac:dyDescent="0.2">
      <c r="A16" s="19" t="s">
        <v>65</v>
      </c>
      <c r="B16" s="20"/>
      <c r="C16" s="21"/>
    </row>
    <row r="17" spans="1:4" x14ac:dyDescent="0.2">
      <c r="A17" s="22"/>
      <c r="B17" s="23"/>
      <c r="C17" s="24"/>
    </row>
    <row r="18" spans="1:4" x14ac:dyDescent="0.2">
      <c r="A18" s="25" t="s">
        <v>1</v>
      </c>
      <c r="B18" s="26" t="s">
        <v>2</v>
      </c>
      <c r="C18" s="27" t="s">
        <v>3</v>
      </c>
    </row>
    <row r="19" spans="1:4" x14ac:dyDescent="0.2">
      <c r="A19" s="28" t="s">
        <v>4</v>
      </c>
      <c r="B19" s="23">
        <v>919150</v>
      </c>
      <c r="C19" s="24">
        <v>7.65</v>
      </c>
    </row>
    <row r="20" spans="1:4" x14ac:dyDescent="0.2">
      <c r="A20" s="28" t="s">
        <v>57</v>
      </c>
      <c r="B20" s="23">
        <v>919050</v>
      </c>
      <c r="C20" s="24">
        <v>8.14</v>
      </c>
    </row>
    <row r="21" spans="1:4" x14ac:dyDescent="0.2">
      <c r="A21" s="28" t="s">
        <v>7</v>
      </c>
      <c r="B21" s="23">
        <v>918000</v>
      </c>
      <c r="C21" s="24">
        <v>11.46</v>
      </c>
    </row>
    <row r="22" spans="1:4" x14ac:dyDescent="0.2">
      <c r="A22" s="28" t="s">
        <v>5</v>
      </c>
      <c r="B22" s="23">
        <v>919100</v>
      </c>
      <c r="C22" s="24">
        <v>13.14</v>
      </c>
    </row>
    <row r="23" spans="1:4" x14ac:dyDescent="0.2">
      <c r="A23" s="28" t="s">
        <v>6</v>
      </c>
      <c r="B23" s="23">
        <v>917000</v>
      </c>
      <c r="C23" s="29">
        <v>4157</v>
      </c>
      <c r="D23" t="s">
        <v>22</v>
      </c>
    </row>
    <row r="24" spans="1:4" x14ac:dyDescent="0.2">
      <c r="A24" s="28"/>
      <c r="B24" s="23"/>
      <c r="C24" s="24"/>
    </row>
    <row r="25" spans="1:4" x14ac:dyDescent="0.2">
      <c r="A25" s="28" t="s">
        <v>9</v>
      </c>
      <c r="B25" s="23">
        <f>C19+C20</f>
        <v>15.790000000000001</v>
      </c>
      <c r="C25" s="24"/>
    </row>
    <row r="26" spans="1:4" x14ac:dyDescent="0.2">
      <c r="A26" s="30" t="s">
        <v>8</v>
      </c>
      <c r="B26" s="31">
        <f>C19+C21</f>
        <v>19.11</v>
      </c>
      <c r="C26" s="32"/>
    </row>
    <row r="29" spans="1:4" x14ac:dyDescent="0.2">
      <c r="A29" t="s">
        <v>67</v>
      </c>
    </row>
  </sheetData>
  <phoneticPr fontId="6" type="noConversion"/>
  <pageMargins left="0.75" right="0.75" top="1" bottom="1" header="0.5" footer="0.5"/>
  <pageSetup scale="8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39997558519241921"/>
  </sheetPr>
  <dimension ref="A1:G32"/>
  <sheetViews>
    <sheetView workbookViewId="0"/>
  </sheetViews>
  <sheetFormatPr defaultColWidth="9.140625" defaultRowHeight="12" x14ac:dyDescent="0.2"/>
  <cols>
    <col min="1" max="1" width="55.5703125" style="34" customWidth="1"/>
    <col min="2" max="2" width="9.5703125" style="34" bestFit="1" customWidth="1"/>
    <col min="3" max="3" width="9" style="34" bestFit="1" customWidth="1"/>
    <col min="4" max="4" width="3.42578125" style="34" customWidth="1"/>
    <col min="5" max="5" width="53.42578125" style="34" customWidth="1"/>
    <col min="6" max="6" width="9.85546875" style="34" customWidth="1"/>
    <col min="7" max="7" width="9.5703125" style="34" customWidth="1"/>
    <col min="8" max="16384" width="9.140625" style="34"/>
  </cols>
  <sheetData>
    <row r="1" spans="1:7" ht="18" x14ac:dyDescent="0.25">
      <c r="A1" s="82" t="s">
        <v>217</v>
      </c>
    </row>
    <row r="3" spans="1:7" x14ac:dyDescent="0.2">
      <c r="A3" s="35"/>
    </row>
    <row r="4" spans="1:7" ht="12.75" x14ac:dyDescent="0.2">
      <c r="A4" s="141" t="s">
        <v>20</v>
      </c>
      <c r="B4" s="140"/>
      <c r="C4" s="140"/>
      <c r="E4" s="35" t="s">
        <v>21</v>
      </c>
    </row>
    <row r="5" spans="1:7" x14ac:dyDescent="0.2">
      <c r="A5" s="142"/>
      <c r="B5" s="143" t="s">
        <v>221</v>
      </c>
      <c r="C5" s="144" t="s">
        <v>223</v>
      </c>
      <c r="E5" s="117"/>
      <c r="F5" s="118" t="s">
        <v>221</v>
      </c>
      <c r="G5" s="119" t="s">
        <v>223</v>
      </c>
    </row>
    <row r="6" spans="1:7" x14ac:dyDescent="0.2">
      <c r="A6" s="145" t="s">
        <v>72</v>
      </c>
      <c r="B6" s="146">
        <v>100000</v>
      </c>
      <c r="C6" s="147">
        <v>100000</v>
      </c>
      <c r="E6" s="120" t="s">
        <v>73</v>
      </c>
      <c r="F6" s="121">
        <v>100000</v>
      </c>
      <c r="G6" s="41">
        <v>100000</v>
      </c>
    </row>
    <row r="7" spans="1:7" x14ac:dyDescent="0.2">
      <c r="A7" s="153" t="s">
        <v>215</v>
      </c>
      <c r="B7" s="148">
        <f>-C23</f>
        <v>-5659</v>
      </c>
      <c r="C7" s="149">
        <f>-C23</f>
        <v>-5659</v>
      </c>
      <c r="E7" s="145" t="s">
        <v>102</v>
      </c>
      <c r="F7" s="121">
        <f>F6*C20</f>
        <v>7650</v>
      </c>
      <c r="G7" s="41">
        <f>G6*C20</f>
        <v>7650</v>
      </c>
    </row>
    <row r="8" spans="1:7" x14ac:dyDescent="0.2">
      <c r="A8" s="145" t="s">
        <v>12</v>
      </c>
      <c r="B8" s="146">
        <f>SUM(B6:B7)</f>
        <v>94341</v>
      </c>
      <c r="C8" s="147">
        <f>SUM(C6:C7)</f>
        <v>94341</v>
      </c>
      <c r="E8" s="120" t="str">
        <f>' FY 16-17 GF Calculator '!A11</f>
        <v>Retirement (Salary x .1633 for SHRA or .1303 for EHRA)</v>
      </c>
      <c r="F8" s="121">
        <f>F6*C21</f>
        <v>16330</v>
      </c>
      <c r="G8" s="41">
        <f>G6*C22</f>
        <v>13030</v>
      </c>
    </row>
    <row r="9" spans="1:7" x14ac:dyDescent="0.2">
      <c r="A9" s="145"/>
      <c r="B9" s="146"/>
      <c r="C9" s="147"/>
      <c r="E9" s="145" t="s">
        <v>226</v>
      </c>
      <c r="F9" s="121">
        <f>F6*C24</f>
        <v>5200</v>
      </c>
      <c r="G9" s="41">
        <f>G6*C24</f>
        <v>5200</v>
      </c>
    </row>
    <row r="10" spans="1:7" x14ac:dyDescent="0.2">
      <c r="A10" s="145" t="s">
        <v>101</v>
      </c>
      <c r="B10" s="146">
        <f>B8/1.2918</f>
        <v>73030.654900139343</v>
      </c>
      <c r="C10" s="147">
        <f>C8/1.2588</f>
        <v>74945.185891325076</v>
      </c>
      <c r="E10" s="120" t="s">
        <v>0</v>
      </c>
      <c r="F10" s="42">
        <f>C23</f>
        <v>5659</v>
      </c>
      <c r="G10" s="43">
        <f>C23</f>
        <v>5659</v>
      </c>
    </row>
    <row r="11" spans="1:7" x14ac:dyDescent="0.2">
      <c r="A11" s="145" t="s">
        <v>102</v>
      </c>
      <c r="B11" s="146">
        <f>B10*C20</f>
        <v>5586.8450998606595</v>
      </c>
      <c r="C11" s="147">
        <f>C10*C20</f>
        <v>5733.306720686368</v>
      </c>
      <c r="E11" s="120"/>
      <c r="F11" s="121"/>
      <c r="G11" s="41"/>
    </row>
    <row r="12" spans="1:7" x14ac:dyDescent="0.2">
      <c r="A12" s="120" t="str">
        <f>' FY 16-17 GF Calculator '!A11</f>
        <v>Retirement (Salary x .1633 for SHRA or .1303 for EHRA)</v>
      </c>
      <c r="B12" s="121">
        <f>B10*C21</f>
        <v>11925.905945192755</v>
      </c>
      <c r="C12" s="41">
        <f>C10*C22</f>
        <v>9765.357721639657</v>
      </c>
      <c r="E12" s="120" t="s">
        <v>90</v>
      </c>
      <c r="F12" s="121">
        <f>SUM(F6:F10)</f>
        <v>134839</v>
      </c>
      <c r="G12" s="41">
        <f>SUM(G6:G10)</f>
        <v>131539</v>
      </c>
    </row>
    <row r="13" spans="1:7" x14ac:dyDescent="0.2">
      <c r="A13" s="145" t="s">
        <v>226</v>
      </c>
      <c r="B13" s="186">
        <f>B10*C24</f>
        <v>3797.5940548072458</v>
      </c>
      <c r="C13" s="147">
        <f>C10*C24</f>
        <v>3897.1496663489038</v>
      </c>
      <c r="E13" s="120"/>
      <c r="F13" s="44"/>
      <c r="G13" s="126"/>
    </row>
    <row r="14" spans="1:7" x14ac:dyDescent="0.2">
      <c r="A14" s="145" t="s">
        <v>0</v>
      </c>
      <c r="B14" s="148">
        <f>C23</f>
        <v>5659</v>
      </c>
      <c r="C14" s="149">
        <f>C23</f>
        <v>5659</v>
      </c>
      <c r="E14" s="282" t="s">
        <v>105</v>
      </c>
      <c r="F14" s="283">
        <f>(SUM((F7:F10))/F6)</f>
        <v>0.34838999999999998</v>
      </c>
      <c r="G14" s="284">
        <f>(SUM((G7:G10))/G6)</f>
        <v>0.31539</v>
      </c>
    </row>
    <row r="15" spans="1:7" x14ac:dyDescent="0.2">
      <c r="A15" s="150" t="s">
        <v>13</v>
      </c>
      <c r="B15" s="151">
        <f>SUM(B10:B14)</f>
        <v>100000</v>
      </c>
      <c r="C15" s="152">
        <f>SUM(C10:C14)</f>
        <v>100000</v>
      </c>
    </row>
    <row r="16" spans="1:7" x14ac:dyDescent="0.2">
      <c r="B16" s="51"/>
    </row>
    <row r="17" spans="1:4" ht="12.75" x14ac:dyDescent="0.2">
      <c r="A17" s="244" t="s">
        <v>214</v>
      </c>
      <c r="B17" s="160"/>
      <c r="C17" s="161"/>
    </row>
    <row r="18" spans="1:4" x14ac:dyDescent="0.2">
      <c r="A18" s="162"/>
      <c r="B18" s="163"/>
      <c r="C18" s="164"/>
    </row>
    <row r="19" spans="1:4" x14ac:dyDescent="0.2">
      <c r="A19" s="165" t="s">
        <v>1</v>
      </c>
      <c r="B19" s="166" t="s">
        <v>2</v>
      </c>
      <c r="C19" s="167" t="s">
        <v>3</v>
      </c>
    </row>
    <row r="20" spans="1:4" x14ac:dyDescent="0.2">
      <c r="A20" s="168" t="s">
        <v>4</v>
      </c>
      <c r="B20" s="169">
        <v>919150</v>
      </c>
      <c r="C20" s="182">
        <f>' FY 16-17 GF Calculator '!C18</f>
        <v>7.6499999999999999E-2</v>
      </c>
    </row>
    <row r="21" spans="1:4" x14ac:dyDescent="0.2">
      <c r="A21" s="168" t="s">
        <v>57</v>
      </c>
      <c r="B21" s="169">
        <v>919050</v>
      </c>
      <c r="C21" s="182">
        <f>' FY 16-17 GF Calculator '!C19</f>
        <v>0.1633</v>
      </c>
    </row>
    <row r="22" spans="1:4" x14ac:dyDescent="0.2">
      <c r="A22" s="168" t="s">
        <v>7</v>
      </c>
      <c r="B22" s="169">
        <v>918000</v>
      </c>
      <c r="C22" s="182">
        <f>' FY 16-17 GF Calculator '!C20</f>
        <v>0.1303</v>
      </c>
    </row>
    <row r="23" spans="1:4" x14ac:dyDescent="0.2">
      <c r="A23" s="168" t="s">
        <v>6</v>
      </c>
      <c r="B23" s="169">
        <v>917000</v>
      </c>
      <c r="C23" s="132">
        <v>5659</v>
      </c>
      <c r="D23" s="34" t="s">
        <v>22</v>
      </c>
    </row>
    <row r="24" spans="1:4" ht="24" x14ac:dyDescent="0.2">
      <c r="A24" s="289" t="s">
        <v>227</v>
      </c>
      <c r="B24" s="158">
        <v>919700</v>
      </c>
      <c r="C24" s="183">
        <v>5.1999999999999998E-2</v>
      </c>
    </row>
    <row r="25" spans="1:4" x14ac:dyDescent="0.2">
      <c r="A25" s="168"/>
      <c r="B25" s="169"/>
      <c r="C25" s="173"/>
    </row>
    <row r="26" spans="1:4" x14ac:dyDescent="0.2">
      <c r="A26" s="168" t="s">
        <v>225</v>
      </c>
      <c r="B26" s="184">
        <f>SUM(C20+C21+C24)</f>
        <v>0.2918</v>
      </c>
      <c r="C26" s="164"/>
    </row>
    <row r="27" spans="1:4" x14ac:dyDescent="0.2">
      <c r="A27" s="171" t="s">
        <v>228</v>
      </c>
      <c r="B27" s="185">
        <f>C20+C22+C24</f>
        <v>0.25879999999999997</v>
      </c>
      <c r="C27" s="172"/>
    </row>
    <row r="29" spans="1:4" x14ac:dyDescent="0.2">
      <c r="A29" s="34" t="str">
        <f>' FY 16-17 GF Calculator '!A28</f>
        <v>Updated: 11/21/16</v>
      </c>
    </row>
    <row r="31" spans="1:4" x14ac:dyDescent="0.2">
      <c r="A31" s="34" t="s">
        <v>219</v>
      </c>
    </row>
    <row r="32" spans="1:4" ht="25.5" x14ac:dyDescent="0.2">
      <c r="A32" s="288" t="s">
        <v>220</v>
      </c>
    </row>
  </sheetData>
  <hyperlinks>
    <hyperlink ref="A32" r:id="rId1" xr:uid="{00000000-0004-0000-0200-000000000000}"/>
  </hyperlinks>
  <printOptions horizontalCentered="1"/>
  <pageMargins left="0.1" right="0.1" top="1" bottom="1" header="0.5" footer="0.5"/>
  <pageSetup scale="85" orientation="landscape" cellComments="asDisplayed" r:id="rId2"/>
  <headerFooter alignWithMargins="0">
    <oddFooter>&amp;L&amp;Z&amp;F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38"/>
  <sheetViews>
    <sheetView workbookViewId="0"/>
  </sheetViews>
  <sheetFormatPr defaultColWidth="8.85546875" defaultRowHeight="11.25" x14ac:dyDescent="0.2"/>
  <cols>
    <col min="1" max="1" width="11" style="205" customWidth="1"/>
    <col min="2" max="2" width="40.42578125" style="204" customWidth="1"/>
    <col min="3" max="3" width="8.5703125" style="204" customWidth="1"/>
    <col min="4" max="4" width="6.140625" style="204" bestFit="1" customWidth="1"/>
    <col min="5" max="7" width="8.5703125" style="205" customWidth="1"/>
    <col min="8" max="9" width="8.5703125" style="204" customWidth="1"/>
    <col min="10" max="10" width="3.85546875" style="204" customWidth="1"/>
    <col min="11" max="11" width="29.5703125" style="204" customWidth="1"/>
    <col min="12" max="16384" width="8.85546875" style="204"/>
  </cols>
  <sheetData>
    <row r="1" spans="1:11" ht="15" x14ac:dyDescent="0.25">
      <c r="A1" s="208"/>
      <c r="E1" s="376" t="s">
        <v>178</v>
      </c>
      <c r="F1" s="376"/>
      <c r="G1" s="376"/>
      <c r="H1" s="376"/>
      <c r="I1" s="247"/>
      <c r="J1" s="247"/>
      <c r="K1" s="263" t="s">
        <v>201</v>
      </c>
    </row>
    <row r="2" spans="1:11" s="207" customFormat="1" ht="68.45" customHeight="1" x14ac:dyDescent="0.2">
      <c r="A2" s="206" t="s">
        <v>136</v>
      </c>
      <c r="B2" s="207" t="s">
        <v>137</v>
      </c>
      <c r="C2" s="207" t="s">
        <v>159</v>
      </c>
      <c r="D2" s="206" t="s">
        <v>138</v>
      </c>
      <c r="E2" s="231" t="s">
        <v>146</v>
      </c>
      <c r="F2" s="231" t="s">
        <v>147</v>
      </c>
      <c r="G2" s="231" t="s">
        <v>148</v>
      </c>
      <c r="H2" s="241" t="s">
        <v>187</v>
      </c>
      <c r="I2" s="265" t="s">
        <v>199</v>
      </c>
      <c r="J2" s="260"/>
      <c r="K2" s="272" t="s">
        <v>199</v>
      </c>
    </row>
    <row r="3" spans="1:11" x14ac:dyDescent="0.2">
      <c r="A3" s="209">
        <v>10</v>
      </c>
      <c r="B3" s="210" t="s">
        <v>153</v>
      </c>
      <c r="C3" s="209" t="s">
        <v>155</v>
      </c>
      <c r="D3" s="210">
        <v>912100</v>
      </c>
      <c r="E3" s="211">
        <v>7.6499999999999999E-2</v>
      </c>
      <c r="F3" s="211">
        <v>0.1532</v>
      </c>
      <c r="G3" s="251"/>
      <c r="H3" s="232">
        <v>5471</v>
      </c>
      <c r="I3" s="269" t="s">
        <v>198</v>
      </c>
      <c r="J3" s="248"/>
      <c r="K3" s="273" t="s">
        <v>198</v>
      </c>
    </row>
    <row r="4" spans="1:11" x14ac:dyDescent="0.2">
      <c r="A4" s="212">
        <v>10</v>
      </c>
      <c r="B4" s="213" t="s">
        <v>154</v>
      </c>
      <c r="C4" s="209" t="s">
        <v>156</v>
      </c>
      <c r="D4" s="210">
        <v>912100</v>
      </c>
      <c r="E4" s="214">
        <v>7.6499999999999999E-2</v>
      </c>
      <c r="F4" s="249"/>
      <c r="G4" s="250"/>
      <c r="H4" s="257"/>
      <c r="I4" s="270" t="s">
        <v>198</v>
      </c>
      <c r="J4" s="248"/>
      <c r="K4" s="275" t="s">
        <v>198</v>
      </c>
    </row>
    <row r="5" spans="1:11" x14ac:dyDescent="0.2">
      <c r="A5" s="212">
        <v>15</v>
      </c>
      <c r="B5" s="213" t="s">
        <v>139</v>
      </c>
      <c r="C5" s="253"/>
      <c r="D5" s="213">
        <v>915900</v>
      </c>
      <c r="E5" s="215">
        <v>7.6499999999999999E-2</v>
      </c>
      <c r="F5" s="249"/>
      <c r="G5" s="250"/>
      <c r="H5" s="257"/>
      <c r="I5" s="271" t="s">
        <v>200</v>
      </c>
      <c r="J5" s="248"/>
      <c r="K5" s="275" t="s">
        <v>198</v>
      </c>
    </row>
    <row r="6" spans="1:11" x14ac:dyDescent="0.2">
      <c r="A6" s="212">
        <v>18</v>
      </c>
      <c r="B6" s="213" t="s">
        <v>140</v>
      </c>
      <c r="C6" s="253"/>
      <c r="D6" s="213">
        <v>915900</v>
      </c>
      <c r="E6" s="215">
        <v>7.6499999999999999E-2</v>
      </c>
      <c r="F6" s="249"/>
      <c r="G6" s="250"/>
      <c r="H6" s="257"/>
      <c r="I6" s="271" t="s">
        <v>200</v>
      </c>
      <c r="J6" s="248"/>
      <c r="K6" s="275" t="s">
        <v>198</v>
      </c>
    </row>
    <row r="7" spans="1:11" x14ac:dyDescent="0.2">
      <c r="A7" s="212">
        <v>19</v>
      </c>
      <c r="B7" s="213" t="s">
        <v>141</v>
      </c>
      <c r="C7" s="253"/>
      <c r="D7" s="213">
        <v>915900</v>
      </c>
      <c r="E7" s="215">
        <v>7.6499999999999999E-2</v>
      </c>
      <c r="F7" s="249"/>
      <c r="G7" s="250"/>
      <c r="H7" s="257"/>
      <c r="I7" s="271" t="s">
        <v>200</v>
      </c>
      <c r="J7" s="248"/>
      <c r="K7" s="275" t="s">
        <v>198</v>
      </c>
    </row>
    <row r="8" spans="1:11" x14ac:dyDescent="0.2">
      <c r="A8" s="212">
        <v>20</v>
      </c>
      <c r="B8" s="213" t="s">
        <v>157</v>
      </c>
      <c r="C8" s="209" t="s">
        <v>155</v>
      </c>
      <c r="D8" s="213">
        <v>911100</v>
      </c>
      <c r="E8" s="215">
        <v>7.6499999999999999E-2</v>
      </c>
      <c r="F8" s="249"/>
      <c r="G8" s="215">
        <v>0.1285</v>
      </c>
      <c r="H8" s="234">
        <v>5471</v>
      </c>
      <c r="I8" s="270" t="s">
        <v>198</v>
      </c>
      <c r="J8" s="248"/>
      <c r="K8" s="275" t="s">
        <v>198</v>
      </c>
    </row>
    <row r="9" spans="1:11" x14ac:dyDescent="0.2">
      <c r="A9" s="212">
        <v>20</v>
      </c>
      <c r="B9" s="213" t="s">
        <v>158</v>
      </c>
      <c r="C9" s="209" t="s">
        <v>156</v>
      </c>
      <c r="D9" s="213">
        <v>911100</v>
      </c>
      <c r="E9" s="215">
        <v>7.6499999999999999E-2</v>
      </c>
      <c r="F9" s="249"/>
      <c r="G9" s="249"/>
      <c r="H9" s="257"/>
      <c r="I9" s="270" t="s">
        <v>198</v>
      </c>
      <c r="J9" s="248"/>
      <c r="K9" s="275" t="s">
        <v>198</v>
      </c>
    </row>
    <row r="10" spans="1:11" x14ac:dyDescent="0.2">
      <c r="A10" s="212">
        <v>30</v>
      </c>
      <c r="B10" s="213" t="s">
        <v>142</v>
      </c>
      <c r="C10" s="212">
        <v>1</v>
      </c>
      <c r="D10" s="213">
        <v>913100</v>
      </c>
      <c r="E10" s="215">
        <v>7.6499999999999999E-2</v>
      </c>
      <c r="F10" s="249"/>
      <c r="G10" s="215">
        <v>0.1285</v>
      </c>
      <c r="H10" s="234">
        <v>5471</v>
      </c>
      <c r="I10" s="270" t="s">
        <v>198</v>
      </c>
      <c r="J10" s="248"/>
      <c r="K10" s="275" t="s">
        <v>198</v>
      </c>
    </row>
    <row r="11" spans="1:11" x14ac:dyDescent="0.2">
      <c r="A11" s="212">
        <v>32</v>
      </c>
      <c r="B11" s="213" t="s">
        <v>143</v>
      </c>
      <c r="C11" s="212">
        <v>1</v>
      </c>
      <c r="D11" s="213">
        <v>913100</v>
      </c>
      <c r="E11" s="215">
        <v>7.6499999999999999E-2</v>
      </c>
      <c r="F11" s="250"/>
      <c r="G11" s="215">
        <v>0.1285</v>
      </c>
      <c r="H11" s="234">
        <v>5471</v>
      </c>
      <c r="I11" s="270" t="s">
        <v>198</v>
      </c>
      <c r="J11" s="248"/>
      <c r="K11" s="275" t="s">
        <v>198</v>
      </c>
    </row>
    <row r="12" spans="1:11" x14ac:dyDescent="0.2">
      <c r="A12" s="212">
        <v>36</v>
      </c>
      <c r="B12" s="213" t="s">
        <v>144</v>
      </c>
      <c r="C12" s="212">
        <v>1</v>
      </c>
      <c r="D12" s="213">
        <v>913100</v>
      </c>
      <c r="E12" s="215">
        <v>7.6499999999999999E-2</v>
      </c>
      <c r="F12" s="250"/>
      <c r="G12" s="215">
        <v>0.1285</v>
      </c>
      <c r="H12" s="234">
        <v>5471</v>
      </c>
      <c r="I12" s="270" t="s">
        <v>198</v>
      </c>
      <c r="J12" s="248"/>
      <c r="K12" s="275" t="s">
        <v>198</v>
      </c>
    </row>
    <row r="13" spans="1:11" x14ac:dyDescent="0.2">
      <c r="A13" s="212">
        <v>40</v>
      </c>
      <c r="B13" s="213" t="s">
        <v>145</v>
      </c>
      <c r="C13" s="264"/>
      <c r="D13" s="213">
        <v>911200</v>
      </c>
      <c r="E13" s="214">
        <v>7.6499999999999999E-2</v>
      </c>
      <c r="F13" s="249"/>
      <c r="G13" s="255"/>
      <c r="H13" s="257" t="s">
        <v>188</v>
      </c>
      <c r="I13" s="271" t="s">
        <v>200</v>
      </c>
      <c r="J13" s="248"/>
      <c r="K13" s="275" t="s">
        <v>198</v>
      </c>
    </row>
    <row r="14" spans="1:11" x14ac:dyDescent="0.2">
      <c r="A14" s="212">
        <v>50</v>
      </c>
      <c r="B14" s="213" t="s">
        <v>196</v>
      </c>
      <c r="C14" s="264"/>
      <c r="D14" s="213">
        <v>911200</v>
      </c>
      <c r="E14" s="214">
        <v>7.6499999999999999E-2</v>
      </c>
      <c r="F14" s="252"/>
      <c r="G14" s="255"/>
      <c r="H14" s="256"/>
      <c r="I14" s="271" t="s">
        <v>200</v>
      </c>
      <c r="J14" s="248"/>
      <c r="K14" s="275" t="s">
        <v>198</v>
      </c>
    </row>
    <row r="15" spans="1:11" x14ac:dyDescent="0.2">
      <c r="A15" s="212">
        <v>45</v>
      </c>
      <c r="B15" s="213" t="s">
        <v>149</v>
      </c>
      <c r="C15" s="264"/>
      <c r="D15" s="213">
        <v>911300</v>
      </c>
      <c r="E15" s="215">
        <v>7.6499999999999999E-2</v>
      </c>
      <c r="F15" s="252"/>
      <c r="G15" s="255"/>
      <c r="H15" s="256"/>
      <c r="I15" s="271" t="s">
        <v>200</v>
      </c>
      <c r="J15" s="248"/>
      <c r="K15" s="275" t="s">
        <v>198</v>
      </c>
    </row>
    <row r="16" spans="1:11" x14ac:dyDescent="0.2">
      <c r="A16" s="212">
        <v>45</v>
      </c>
      <c r="B16" s="213" t="s">
        <v>151</v>
      </c>
      <c r="C16" s="264"/>
      <c r="D16" s="213">
        <v>913300</v>
      </c>
      <c r="E16" s="215">
        <v>7.6499999999999999E-2</v>
      </c>
      <c r="F16" s="252"/>
      <c r="G16" s="255"/>
      <c r="H16" s="256"/>
      <c r="I16" s="271" t="s">
        <v>200</v>
      </c>
      <c r="J16" s="248"/>
      <c r="K16" s="275" t="s">
        <v>198</v>
      </c>
    </row>
    <row r="17" spans="1:11" x14ac:dyDescent="0.2">
      <c r="A17" s="212">
        <v>50</v>
      </c>
      <c r="B17" s="213" t="s">
        <v>197</v>
      </c>
      <c r="C17" s="264"/>
      <c r="D17" s="213">
        <v>913200</v>
      </c>
      <c r="E17" s="215">
        <v>7.6499999999999999E-2</v>
      </c>
      <c r="F17" s="252"/>
      <c r="G17" s="255"/>
      <c r="H17" s="256"/>
      <c r="I17" s="271" t="s">
        <v>200</v>
      </c>
      <c r="J17" s="248"/>
      <c r="K17" s="275" t="s">
        <v>198</v>
      </c>
    </row>
    <row r="18" spans="1:11" x14ac:dyDescent="0.2">
      <c r="A18" s="212">
        <v>60</v>
      </c>
      <c r="B18" s="213" t="s">
        <v>161</v>
      </c>
      <c r="C18" s="213" t="s">
        <v>160</v>
      </c>
      <c r="D18" s="213">
        <v>913250</v>
      </c>
      <c r="E18" s="214" t="s">
        <v>174</v>
      </c>
      <c r="F18" s="253"/>
      <c r="G18" s="250"/>
      <c r="H18" s="257">
        <v>1136.68</v>
      </c>
      <c r="I18" s="266" t="s">
        <v>174</v>
      </c>
      <c r="J18" s="261"/>
      <c r="K18" s="249" t="s">
        <v>174</v>
      </c>
    </row>
    <row r="19" spans="1:11" x14ac:dyDescent="0.2">
      <c r="A19" s="212">
        <v>60</v>
      </c>
      <c r="B19" s="213" t="s">
        <v>162</v>
      </c>
      <c r="C19" s="213" t="s">
        <v>160</v>
      </c>
      <c r="D19" s="213">
        <v>911250</v>
      </c>
      <c r="E19" s="214" t="s">
        <v>174</v>
      </c>
      <c r="F19" s="253"/>
      <c r="G19" s="250"/>
      <c r="H19" s="257">
        <v>1136.68</v>
      </c>
      <c r="I19" s="266" t="s">
        <v>174</v>
      </c>
      <c r="J19" s="261"/>
      <c r="K19" s="249" t="s">
        <v>174</v>
      </c>
    </row>
    <row r="20" spans="1:11" x14ac:dyDescent="0.2">
      <c r="A20" s="212">
        <v>60</v>
      </c>
      <c r="B20" s="213" t="s">
        <v>163</v>
      </c>
      <c r="C20" s="213" t="s">
        <v>160</v>
      </c>
      <c r="D20" s="213">
        <v>911260</v>
      </c>
      <c r="E20" s="214" t="s">
        <v>174</v>
      </c>
      <c r="F20" s="253"/>
      <c r="G20" s="250"/>
      <c r="H20" s="257">
        <v>1136.68</v>
      </c>
      <c r="I20" s="266" t="s">
        <v>174</v>
      </c>
      <c r="J20" s="261"/>
      <c r="K20" s="249" t="s">
        <v>174</v>
      </c>
    </row>
    <row r="21" spans="1:11" x14ac:dyDescent="0.2">
      <c r="A21" s="212">
        <v>70</v>
      </c>
      <c r="B21" s="213" t="s">
        <v>164</v>
      </c>
      <c r="C21" s="213" t="s">
        <v>165</v>
      </c>
      <c r="D21" s="213">
        <v>915020</v>
      </c>
      <c r="E21" s="228" t="s">
        <v>174</v>
      </c>
      <c r="F21" s="250"/>
      <c r="G21" s="250"/>
      <c r="H21" s="258"/>
      <c r="I21" s="267" t="s">
        <v>174</v>
      </c>
      <c r="J21" s="262"/>
      <c r="K21" s="250" t="s">
        <v>174</v>
      </c>
    </row>
    <row r="22" spans="1:11" x14ac:dyDescent="0.2">
      <c r="A22" s="212">
        <v>72</v>
      </c>
      <c r="B22" s="213" t="s">
        <v>150</v>
      </c>
      <c r="C22" s="213" t="s">
        <v>165</v>
      </c>
      <c r="D22" s="213">
        <v>915020</v>
      </c>
      <c r="E22" s="228" t="s">
        <v>174</v>
      </c>
      <c r="F22" s="250"/>
      <c r="G22" s="250"/>
      <c r="H22" s="258"/>
      <c r="I22" s="267" t="s">
        <v>174</v>
      </c>
      <c r="J22" s="262"/>
      <c r="K22" s="250" t="s">
        <v>174</v>
      </c>
    </row>
    <row r="23" spans="1:11" x14ac:dyDescent="0.2">
      <c r="A23" s="212">
        <v>75</v>
      </c>
      <c r="B23" s="213" t="s">
        <v>152</v>
      </c>
      <c r="C23" s="213" t="s">
        <v>165</v>
      </c>
      <c r="D23" s="213">
        <v>915020</v>
      </c>
      <c r="E23" s="228" t="s">
        <v>174</v>
      </c>
      <c r="F23" s="250"/>
      <c r="G23" s="250"/>
      <c r="H23" s="258"/>
      <c r="I23" s="267" t="s">
        <v>174</v>
      </c>
      <c r="J23" s="262"/>
      <c r="K23" s="250" t="s">
        <v>174</v>
      </c>
    </row>
    <row r="24" spans="1:11" x14ac:dyDescent="0.2">
      <c r="A24" s="212" t="s">
        <v>172</v>
      </c>
      <c r="B24" s="213" t="s">
        <v>173</v>
      </c>
      <c r="C24" s="213" t="s">
        <v>170</v>
      </c>
      <c r="D24" s="227" t="s">
        <v>171</v>
      </c>
      <c r="E24" s="230" t="s">
        <v>174</v>
      </c>
      <c r="F24" s="254"/>
      <c r="G24" s="254"/>
      <c r="H24" s="259"/>
      <c r="I24" s="268" t="s">
        <v>174</v>
      </c>
      <c r="J24" s="262"/>
      <c r="K24" s="274" t="s">
        <v>174</v>
      </c>
    </row>
    <row r="25" spans="1:11" x14ac:dyDescent="0.2">
      <c r="H25" s="205"/>
      <c r="I25" s="208"/>
      <c r="J25" s="208"/>
    </row>
    <row r="26" spans="1:11" x14ac:dyDescent="0.2">
      <c r="A26" s="226" t="s">
        <v>167</v>
      </c>
      <c r="B26" s="204" t="s">
        <v>166</v>
      </c>
      <c r="H26" s="205"/>
      <c r="I26" s="208"/>
      <c r="J26" s="208"/>
    </row>
    <row r="27" spans="1:11" x14ac:dyDescent="0.2">
      <c r="A27" s="226" t="s">
        <v>168</v>
      </c>
      <c r="B27" s="204" t="s">
        <v>169</v>
      </c>
      <c r="H27" s="205"/>
      <c r="I27" s="208"/>
      <c r="J27" s="208"/>
    </row>
    <row r="30" spans="1:11" ht="12.75" x14ac:dyDescent="0.2">
      <c r="B30" s="285"/>
    </row>
    <row r="31" spans="1:11" ht="12.75" x14ac:dyDescent="0.2">
      <c r="B31"/>
    </row>
    <row r="32" spans="1:11" ht="12.75" x14ac:dyDescent="0.2">
      <c r="B32" s="285"/>
    </row>
    <row r="33" spans="2:2" ht="12.75" x14ac:dyDescent="0.2">
      <c r="B33"/>
    </row>
    <row r="34" spans="2:2" ht="12.75" x14ac:dyDescent="0.2">
      <c r="B34" s="285"/>
    </row>
    <row r="35" spans="2:2" ht="12.75" x14ac:dyDescent="0.2">
      <c r="B35"/>
    </row>
    <row r="36" spans="2:2" ht="12.75" x14ac:dyDescent="0.2">
      <c r="B36" s="285"/>
    </row>
    <row r="37" spans="2:2" ht="12.75" x14ac:dyDescent="0.2">
      <c r="B37"/>
    </row>
    <row r="38" spans="2:2" ht="12.75" x14ac:dyDescent="0.2">
      <c r="B38" s="285"/>
    </row>
  </sheetData>
  <mergeCells count="1">
    <mergeCell ref="E1:H1"/>
  </mergeCells>
  <pageMargins left="0.7" right="0.7" top="0.75" bottom="0.75" header="0.3" footer="0.3"/>
  <pageSetup scale="85" orientation="landscape" r:id="rId1"/>
  <headerFooter>
    <oddFooter>&amp;L&amp;Z&amp;F&amp;RPage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33"/>
  <sheetViews>
    <sheetView workbookViewId="0"/>
  </sheetViews>
  <sheetFormatPr defaultColWidth="9.140625" defaultRowHeight="12" x14ac:dyDescent="0.2"/>
  <cols>
    <col min="1" max="1" width="49.42578125" style="34" customWidth="1"/>
    <col min="2" max="2" width="9.42578125" style="34" customWidth="1"/>
    <col min="3" max="3" width="9.85546875" style="34" customWidth="1"/>
    <col min="4" max="4" width="3.42578125" style="34" customWidth="1"/>
    <col min="5" max="5" width="1.5703125" style="34" customWidth="1"/>
    <col min="6" max="6" width="45.42578125" style="34" customWidth="1"/>
    <col min="7" max="7" width="9" style="34" customWidth="1"/>
    <col min="8" max="8" width="9.85546875" style="34" customWidth="1"/>
    <col min="9" max="9" width="3.140625" style="34" customWidth="1"/>
    <col min="10" max="10" width="14.5703125" style="34" customWidth="1"/>
    <col min="11" max="12" width="9.140625" style="34"/>
    <col min="13" max="13" width="9.5703125" style="34" customWidth="1"/>
    <col min="14" max="16384" width="9.140625" style="34"/>
  </cols>
  <sheetData>
    <row r="1" spans="1:13" ht="18" x14ac:dyDescent="0.25">
      <c r="A1" s="82" t="s">
        <v>194</v>
      </c>
    </row>
    <row r="2" spans="1:13" x14ac:dyDescent="0.2">
      <c r="J2" s="377" t="s">
        <v>211</v>
      </c>
      <c r="K2" s="377"/>
      <c r="L2" s="377"/>
      <c r="M2" s="377"/>
    </row>
    <row r="3" spans="1:13" ht="30" customHeight="1" x14ac:dyDescent="0.2">
      <c r="A3" s="35" t="s">
        <v>20</v>
      </c>
      <c r="F3" s="35" t="s">
        <v>21</v>
      </c>
      <c r="J3" s="276"/>
      <c r="K3" s="277" t="s">
        <v>203</v>
      </c>
      <c r="L3" s="277" t="s">
        <v>204</v>
      </c>
      <c r="M3" s="278" t="s">
        <v>212</v>
      </c>
    </row>
    <row r="4" spans="1:13" x14ac:dyDescent="0.2">
      <c r="A4" s="117"/>
      <c r="B4" s="118" t="s">
        <v>10</v>
      </c>
      <c r="C4" s="119" t="s">
        <v>11</v>
      </c>
      <c r="F4" s="117"/>
      <c r="G4" s="118" t="s">
        <v>10</v>
      </c>
      <c r="H4" s="119" t="s">
        <v>11</v>
      </c>
      <c r="J4" s="276" t="s">
        <v>205</v>
      </c>
      <c r="K4" s="279">
        <v>0.15670000000000001</v>
      </c>
      <c r="L4" s="279">
        <v>0.1532</v>
      </c>
      <c r="M4" s="281">
        <f>L4-K4</f>
        <v>-3.5000000000000031E-3</v>
      </c>
    </row>
    <row r="5" spans="1:13" x14ac:dyDescent="0.2">
      <c r="A5" s="120" t="s">
        <v>72</v>
      </c>
      <c r="B5" s="121">
        <v>100000</v>
      </c>
      <c r="C5" s="41">
        <v>100000</v>
      </c>
      <c r="F5" s="120" t="s">
        <v>73</v>
      </c>
      <c r="G5" s="121">
        <v>50000</v>
      </c>
      <c r="H5" s="41">
        <v>50000</v>
      </c>
      <c r="J5" s="276" t="s">
        <v>207</v>
      </c>
      <c r="K5" s="279">
        <v>0.12859999999999999</v>
      </c>
      <c r="L5" s="279">
        <v>0.1285</v>
      </c>
      <c r="M5" s="281">
        <f>L5-K5</f>
        <v>-9.9999999999988987E-5</v>
      </c>
    </row>
    <row r="6" spans="1:13" x14ac:dyDescent="0.2">
      <c r="A6" s="83" t="s">
        <v>182</v>
      </c>
      <c r="B6" s="42">
        <f>-C22</f>
        <v>-5471</v>
      </c>
      <c r="C6" s="43">
        <f>-C22</f>
        <v>-5471</v>
      </c>
      <c r="F6" s="120" t="str">
        <f>A10</f>
        <v>FICA (Salary X .0765)</v>
      </c>
      <c r="G6" s="121">
        <f>G5*C18</f>
        <v>3825</v>
      </c>
      <c r="H6" s="41">
        <f>H5*C18</f>
        <v>3825</v>
      </c>
      <c r="J6" s="276" t="s">
        <v>206</v>
      </c>
      <c r="K6" s="279">
        <v>0.20669999999999999</v>
      </c>
      <c r="L6" s="279">
        <v>0.20319999999999999</v>
      </c>
      <c r="M6" s="281">
        <f>L6-K6</f>
        <v>-3.5000000000000031E-3</v>
      </c>
    </row>
    <row r="7" spans="1:13" x14ac:dyDescent="0.2">
      <c r="A7" s="120" t="s">
        <v>12</v>
      </c>
      <c r="B7" s="121">
        <f>SUM(B5:B6)</f>
        <v>94529</v>
      </c>
      <c r="C7" s="41">
        <f>SUM(C5:C6)</f>
        <v>94529</v>
      </c>
      <c r="F7" s="120" t="str">
        <f>A11</f>
        <v>Retirement (Salary x .1532 for SPA or .1285 for EPA)</v>
      </c>
      <c r="G7" s="121">
        <f>G5*C19</f>
        <v>7660</v>
      </c>
      <c r="H7" s="41">
        <f>H5*C20</f>
        <v>6425</v>
      </c>
      <c r="J7" s="276" t="s">
        <v>0</v>
      </c>
      <c r="K7" s="280">
        <v>5479</v>
      </c>
      <c r="L7" s="280">
        <v>5471</v>
      </c>
      <c r="M7" s="280">
        <f>L7-K7</f>
        <v>-8</v>
      </c>
    </row>
    <row r="8" spans="1:13" x14ac:dyDescent="0.2">
      <c r="A8" s="120"/>
      <c r="B8" s="121"/>
      <c r="C8" s="41"/>
      <c r="F8" s="120" t="s">
        <v>0</v>
      </c>
      <c r="G8" s="42">
        <f>C22</f>
        <v>5471</v>
      </c>
      <c r="H8" s="43">
        <f>C22</f>
        <v>5471</v>
      </c>
    </row>
    <row r="9" spans="1:13" x14ac:dyDescent="0.2">
      <c r="A9" s="120" t="s">
        <v>76</v>
      </c>
      <c r="B9" s="121">
        <f>B7/1.2297</f>
        <v>76871.594697893801</v>
      </c>
      <c r="C9" s="41">
        <f>C7/1.205</f>
        <v>78447.302904564305</v>
      </c>
      <c r="F9" s="120"/>
      <c r="G9" s="121"/>
      <c r="H9" s="41"/>
    </row>
    <row r="10" spans="1:13" x14ac:dyDescent="0.2">
      <c r="A10" s="120" t="s">
        <v>77</v>
      </c>
      <c r="B10" s="121">
        <f>B9*C18</f>
        <v>5880.6769943888758</v>
      </c>
      <c r="C10" s="41">
        <f>C9*C18</f>
        <v>6001.2186721991693</v>
      </c>
      <c r="F10" s="120" t="s">
        <v>90</v>
      </c>
      <c r="G10" s="121">
        <f>SUM(G5:G8)</f>
        <v>66956</v>
      </c>
      <c r="H10" s="41">
        <f>SUM(H5:H8)</f>
        <v>65721</v>
      </c>
    </row>
    <row r="11" spans="1:13" x14ac:dyDescent="0.2">
      <c r="A11" s="120" t="s">
        <v>208</v>
      </c>
      <c r="B11" s="121">
        <f>B9*C19</f>
        <v>11776.728307717331</v>
      </c>
      <c r="C11" s="41">
        <f>C9*C20</f>
        <v>10080.478423236513</v>
      </c>
      <c r="F11" s="120"/>
      <c r="G11" s="44"/>
      <c r="H11" s="126"/>
    </row>
    <row r="12" spans="1:13" x14ac:dyDescent="0.2">
      <c r="A12" s="120" t="s">
        <v>0</v>
      </c>
      <c r="B12" s="42">
        <f>C22</f>
        <v>5471</v>
      </c>
      <c r="C12" s="43">
        <f>C22</f>
        <v>5471</v>
      </c>
      <c r="F12" s="120"/>
      <c r="G12" s="44"/>
      <c r="H12" s="126"/>
    </row>
    <row r="13" spans="1:13" x14ac:dyDescent="0.2">
      <c r="A13" s="122" t="s">
        <v>13</v>
      </c>
      <c r="B13" s="47">
        <f>SUM(B9:B12)</f>
        <v>100000.00000000001</v>
      </c>
      <c r="C13" s="48">
        <f>SUM(C9:C12)</f>
        <v>100000</v>
      </c>
      <c r="F13" s="122"/>
      <c r="G13" s="123"/>
      <c r="H13" s="124"/>
    </row>
    <row r="15" spans="1:13" ht="12.75" x14ac:dyDescent="0.2">
      <c r="A15" s="243" t="s">
        <v>195</v>
      </c>
      <c r="B15" s="188"/>
      <c r="C15" s="189"/>
      <c r="F15" s="116" t="s">
        <v>93</v>
      </c>
      <c r="G15" s="115"/>
      <c r="H15" s="115"/>
    </row>
    <row r="16" spans="1:13" x14ac:dyDescent="0.2">
      <c r="A16" s="190"/>
      <c r="B16" s="191"/>
      <c r="C16" s="192"/>
      <c r="F16" s="117"/>
      <c r="G16" s="118" t="s">
        <v>10</v>
      </c>
      <c r="H16" s="119" t="s">
        <v>11</v>
      </c>
    </row>
    <row r="17" spans="1:8" x14ac:dyDescent="0.2">
      <c r="A17" s="193" t="s">
        <v>1</v>
      </c>
      <c r="B17" s="194" t="s">
        <v>2</v>
      </c>
      <c r="C17" s="195" t="s">
        <v>3</v>
      </c>
      <c r="F17" s="120" t="s">
        <v>73</v>
      </c>
      <c r="G17" s="121">
        <v>50000</v>
      </c>
      <c r="H17" s="127">
        <v>50000</v>
      </c>
    </row>
    <row r="18" spans="1:8" x14ac:dyDescent="0.2">
      <c r="A18" s="196" t="s">
        <v>4</v>
      </c>
      <c r="B18" s="197">
        <v>919150</v>
      </c>
      <c r="C18" s="198">
        <v>7.6499999999999999E-2</v>
      </c>
      <c r="F18" s="120" t="str">
        <f>A10</f>
        <v>FICA (Salary X .0765)</v>
      </c>
      <c r="G18" s="121">
        <f>G17*C18</f>
        <v>3825</v>
      </c>
      <c r="H18" s="127">
        <f>H17*C18</f>
        <v>3825</v>
      </c>
    </row>
    <row r="19" spans="1:8" x14ac:dyDescent="0.2">
      <c r="A19" s="196" t="s">
        <v>57</v>
      </c>
      <c r="B19" s="197">
        <v>919050</v>
      </c>
      <c r="C19" s="198">
        <v>0.1532</v>
      </c>
      <c r="F19" s="120" t="s">
        <v>209</v>
      </c>
      <c r="G19" s="121">
        <f>G17*C21</f>
        <v>10160</v>
      </c>
      <c r="H19" s="127">
        <f>H17*C21</f>
        <v>10160</v>
      </c>
    </row>
    <row r="20" spans="1:8" x14ac:dyDescent="0.2">
      <c r="A20" s="196" t="s">
        <v>7</v>
      </c>
      <c r="B20" s="197">
        <v>918000</v>
      </c>
      <c r="C20" s="198">
        <v>0.1285</v>
      </c>
      <c r="F20" s="120" t="s">
        <v>0</v>
      </c>
      <c r="G20" s="125">
        <f>C22</f>
        <v>5471</v>
      </c>
      <c r="H20" s="109">
        <f>C22</f>
        <v>5471</v>
      </c>
    </row>
    <row r="21" spans="1:8" x14ac:dyDescent="0.2">
      <c r="A21" s="196" t="s">
        <v>86</v>
      </c>
      <c r="B21" s="197">
        <v>919100</v>
      </c>
      <c r="C21" s="198">
        <v>0.20319999999999999</v>
      </c>
      <c r="F21" s="120" t="s">
        <v>95</v>
      </c>
      <c r="G21" s="121">
        <f>SUM(G17:G20)</f>
        <v>69456</v>
      </c>
      <c r="H21" s="127">
        <f>SUM(H17:H20)</f>
        <v>69456</v>
      </c>
    </row>
    <row r="22" spans="1:8" x14ac:dyDescent="0.2">
      <c r="A22" s="196" t="s">
        <v>6</v>
      </c>
      <c r="B22" s="197">
        <v>917000</v>
      </c>
      <c r="C22" s="199">
        <v>5471</v>
      </c>
      <c r="D22" s="34" t="s">
        <v>22</v>
      </c>
      <c r="F22" s="120"/>
      <c r="G22" s="121"/>
      <c r="H22" s="126"/>
    </row>
    <row r="23" spans="1:8" x14ac:dyDescent="0.2">
      <c r="A23" s="196"/>
      <c r="B23" s="191"/>
      <c r="C23" s="192"/>
      <c r="F23" s="174"/>
      <c r="G23" s="175"/>
      <c r="H23" s="176"/>
    </row>
    <row r="24" spans="1:8" x14ac:dyDescent="0.2">
      <c r="A24" s="196" t="s">
        <v>183</v>
      </c>
      <c r="B24" s="200">
        <f>SUM(C18+C19)</f>
        <v>0.22970000000000002</v>
      </c>
      <c r="C24" s="192"/>
      <c r="F24" s="120" t="s">
        <v>72</v>
      </c>
      <c r="G24" s="121">
        <v>50000</v>
      </c>
      <c r="H24" s="41">
        <v>50000</v>
      </c>
    </row>
    <row r="25" spans="1:8" x14ac:dyDescent="0.2">
      <c r="A25" s="196" t="s">
        <v>184</v>
      </c>
      <c r="B25" s="200">
        <f>SUM(C18+C20)</f>
        <v>0.20500000000000002</v>
      </c>
      <c r="C25" s="192"/>
      <c r="F25" s="83" t="s">
        <v>180</v>
      </c>
      <c r="G25" s="42">
        <f>-C22</f>
        <v>-5471</v>
      </c>
      <c r="H25" s="43">
        <f>-C22</f>
        <v>-5471</v>
      </c>
    </row>
    <row r="26" spans="1:8" x14ac:dyDescent="0.2">
      <c r="A26" s="201" t="s">
        <v>185</v>
      </c>
      <c r="B26" s="202">
        <f>SUM(C18+C21)</f>
        <v>0.2797</v>
      </c>
      <c r="C26" s="203"/>
      <c r="F26" s="120" t="s">
        <v>12</v>
      </c>
      <c r="G26" s="121">
        <f>SUM(G24:G25)</f>
        <v>44529</v>
      </c>
      <c r="H26" s="41">
        <f>SUM(H24:H25)</f>
        <v>44529</v>
      </c>
    </row>
    <row r="27" spans="1:8" x14ac:dyDescent="0.2">
      <c r="F27" s="120"/>
      <c r="G27" s="121"/>
      <c r="H27" s="126"/>
    </row>
    <row r="28" spans="1:8" x14ac:dyDescent="0.2">
      <c r="A28" s="34" t="s">
        <v>210</v>
      </c>
      <c r="F28" s="120" t="s">
        <v>76</v>
      </c>
      <c r="G28" s="121">
        <f>G26/1.2832</f>
        <v>34701.527431421448</v>
      </c>
      <c r="H28" s="41">
        <f>H26/1.2832</f>
        <v>34701.527431421448</v>
      </c>
    </row>
    <row r="29" spans="1:8" x14ac:dyDescent="0.2">
      <c r="F29" s="120" t="str">
        <f>A10</f>
        <v>FICA (Salary X .0765)</v>
      </c>
      <c r="G29" s="121">
        <f>G28*C18</f>
        <v>2654.6668485037408</v>
      </c>
      <c r="H29" s="41">
        <f>H28*C18</f>
        <v>2654.6668485037408</v>
      </c>
    </row>
    <row r="30" spans="1:8" x14ac:dyDescent="0.2">
      <c r="F30" s="120" t="s">
        <v>209</v>
      </c>
      <c r="G30" s="121">
        <f>G28*C21</f>
        <v>7051.3503740648375</v>
      </c>
      <c r="H30" s="41">
        <f>H28*C21</f>
        <v>7051.3503740648375</v>
      </c>
    </row>
    <row r="31" spans="1:8" x14ac:dyDescent="0.2">
      <c r="F31" s="120" t="s">
        <v>0</v>
      </c>
      <c r="G31" s="42">
        <f>C22</f>
        <v>5471</v>
      </c>
      <c r="H31" s="242">
        <f>C22</f>
        <v>5471</v>
      </c>
    </row>
    <row r="32" spans="1:8" x14ac:dyDescent="0.2">
      <c r="F32" s="122" t="s">
        <v>13</v>
      </c>
      <c r="G32" s="47">
        <f>SUM(G28:G31)</f>
        <v>49878.544653990022</v>
      </c>
      <c r="H32" s="48">
        <f>SUM(H28:H31)</f>
        <v>49878.544653990022</v>
      </c>
    </row>
    <row r="33" spans="8:8" x14ac:dyDescent="0.2">
      <c r="H33" s="178"/>
    </row>
  </sheetData>
  <mergeCells count="1">
    <mergeCell ref="J2:M2"/>
  </mergeCells>
  <pageMargins left="0.75" right="0.75" top="1" bottom="1" header="0.5" footer="0.5"/>
  <pageSetup scale="85" orientation="landscape" cellComments="asDisplayed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27"/>
  <sheetViews>
    <sheetView workbookViewId="0"/>
  </sheetViews>
  <sheetFormatPr defaultColWidth="8.85546875" defaultRowHeight="11.25" x14ac:dyDescent="0.2"/>
  <cols>
    <col min="1" max="1" width="11" style="208" customWidth="1"/>
    <col min="2" max="2" width="40.42578125" style="204" customWidth="1"/>
    <col min="3" max="3" width="8.5703125" style="204" customWidth="1"/>
    <col min="4" max="4" width="6.140625" style="204" bestFit="1" customWidth="1"/>
    <col min="5" max="7" width="8.5703125" style="208" customWidth="1"/>
    <col min="8" max="8" width="8.5703125" style="204" customWidth="1"/>
    <col min="9" max="9" width="11.5703125" style="204" customWidth="1"/>
    <col min="10" max="16384" width="8.85546875" style="204"/>
  </cols>
  <sheetData>
    <row r="1" spans="1:9" ht="14.1" customHeight="1" x14ac:dyDescent="0.25">
      <c r="E1" s="376" t="s">
        <v>179</v>
      </c>
      <c r="F1" s="376"/>
      <c r="G1" s="376"/>
      <c r="H1" s="376"/>
      <c r="I1" s="376"/>
    </row>
    <row r="2" spans="1:9" s="207" customFormat="1" ht="68.45" customHeight="1" x14ac:dyDescent="0.2">
      <c r="A2" s="206" t="s">
        <v>136</v>
      </c>
      <c r="B2" s="207" t="s">
        <v>137</v>
      </c>
      <c r="C2" s="207" t="s">
        <v>159</v>
      </c>
      <c r="D2" s="206" t="s">
        <v>138</v>
      </c>
      <c r="E2" s="231" t="s">
        <v>146</v>
      </c>
      <c r="F2" s="231" t="s">
        <v>147</v>
      </c>
      <c r="G2" s="231" t="s">
        <v>148</v>
      </c>
      <c r="H2" s="241" t="s">
        <v>187</v>
      </c>
      <c r="I2" s="238" t="s">
        <v>202</v>
      </c>
    </row>
    <row r="3" spans="1:9" x14ac:dyDescent="0.2">
      <c r="A3" s="209">
        <v>10</v>
      </c>
      <c r="B3" s="210" t="s">
        <v>153</v>
      </c>
      <c r="C3" s="209" t="s">
        <v>155</v>
      </c>
      <c r="D3" s="210">
        <v>912100</v>
      </c>
      <c r="E3" s="211">
        <v>7.6499999999999999E-2</v>
      </c>
      <c r="F3" s="211">
        <v>0.1532</v>
      </c>
      <c r="G3" s="216"/>
      <c r="H3" s="232">
        <v>5471</v>
      </c>
      <c r="I3" s="239">
        <v>3.95E-2</v>
      </c>
    </row>
    <row r="4" spans="1:9" x14ac:dyDescent="0.2">
      <c r="A4" s="212">
        <v>10</v>
      </c>
      <c r="B4" s="213" t="s">
        <v>154</v>
      </c>
      <c r="C4" s="209" t="s">
        <v>156</v>
      </c>
      <c r="D4" s="210">
        <v>912100</v>
      </c>
      <c r="E4" s="214">
        <v>7.6499999999999999E-2</v>
      </c>
      <c r="F4" s="218"/>
      <c r="G4" s="217"/>
      <c r="H4" s="233"/>
      <c r="I4" s="240">
        <v>3.95E-2</v>
      </c>
    </row>
    <row r="5" spans="1:9" x14ac:dyDescent="0.2">
      <c r="A5" s="212">
        <v>15</v>
      </c>
      <c r="B5" s="213" t="s">
        <v>139</v>
      </c>
      <c r="C5" s="220"/>
      <c r="D5" s="213">
        <v>915900</v>
      </c>
      <c r="E5" s="215">
        <v>7.6499999999999999E-2</v>
      </c>
      <c r="F5" s="218"/>
      <c r="G5" s="217"/>
      <c r="H5" s="233"/>
      <c r="I5" s="240">
        <v>2.41E-2</v>
      </c>
    </row>
    <row r="6" spans="1:9" x14ac:dyDescent="0.2">
      <c r="A6" s="212">
        <v>18</v>
      </c>
      <c r="B6" s="213" t="s">
        <v>140</v>
      </c>
      <c r="C6" s="220"/>
      <c r="D6" s="213">
        <v>915900</v>
      </c>
      <c r="E6" s="215">
        <v>7.6499999999999999E-2</v>
      </c>
      <c r="F6" s="218"/>
      <c r="G6" s="217"/>
      <c r="H6" s="233"/>
      <c r="I6" s="240">
        <v>2.41E-2</v>
      </c>
    </row>
    <row r="7" spans="1:9" x14ac:dyDescent="0.2">
      <c r="A7" s="212">
        <v>19</v>
      </c>
      <c r="B7" s="213" t="s">
        <v>141</v>
      </c>
      <c r="C7" s="220"/>
      <c r="D7" s="213">
        <v>915900</v>
      </c>
      <c r="E7" s="215">
        <v>7.6499999999999999E-2</v>
      </c>
      <c r="F7" s="218"/>
      <c r="G7" s="217"/>
      <c r="H7" s="233"/>
      <c r="I7" s="240">
        <v>2.41E-2</v>
      </c>
    </row>
    <row r="8" spans="1:9" x14ac:dyDescent="0.2">
      <c r="A8" s="212">
        <v>20</v>
      </c>
      <c r="B8" s="213" t="s">
        <v>157</v>
      </c>
      <c r="C8" s="209" t="s">
        <v>155</v>
      </c>
      <c r="D8" s="213">
        <v>911100</v>
      </c>
      <c r="E8" s="215">
        <v>7.6499999999999999E-2</v>
      </c>
      <c r="F8" s="218"/>
      <c r="G8" s="215">
        <v>0.1285</v>
      </c>
      <c r="H8" s="232">
        <v>5471</v>
      </c>
      <c r="I8" s="240">
        <v>3.95E-2</v>
      </c>
    </row>
    <row r="9" spans="1:9" x14ac:dyDescent="0.2">
      <c r="A9" s="212">
        <v>20</v>
      </c>
      <c r="B9" s="213" t="s">
        <v>158</v>
      </c>
      <c r="C9" s="209" t="s">
        <v>156</v>
      </c>
      <c r="D9" s="213">
        <v>911100</v>
      </c>
      <c r="E9" s="215">
        <v>7.6499999999999999E-2</v>
      </c>
      <c r="F9" s="218"/>
      <c r="G9" s="218"/>
      <c r="H9" s="233"/>
      <c r="I9" s="240">
        <v>3.95E-2</v>
      </c>
    </row>
    <row r="10" spans="1:9" x14ac:dyDescent="0.2">
      <c r="A10" s="212">
        <v>30</v>
      </c>
      <c r="B10" s="213" t="s">
        <v>142</v>
      </c>
      <c r="C10" s="212">
        <v>1</v>
      </c>
      <c r="D10" s="213">
        <v>913100</v>
      </c>
      <c r="E10" s="215">
        <v>7.6499999999999999E-2</v>
      </c>
      <c r="F10" s="218"/>
      <c r="G10" s="215">
        <v>0.1285</v>
      </c>
      <c r="H10" s="232">
        <v>5471</v>
      </c>
      <c r="I10" s="240">
        <v>3.95E-2</v>
      </c>
    </row>
    <row r="11" spans="1:9" x14ac:dyDescent="0.2">
      <c r="A11" s="212">
        <v>32</v>
      </c>
      <c r="B11" s="213" t="s">
        <v>143</v>
      </c>
      <c r="C11" s="212">
        <v>1</v>
      </c>
      <c r="D11" s="213">
        <v>913100</v>
      </c>
      <c r="E11" s="215">
        <v>7.6499999999999999E-2</v>
      </c>
      <c r="F11" s="217"/>
      <c r="G11" s="215">
        <v>0.1285</v>
      </c>
      <c r="H11" s="232">
        <v>5471</v>
      </c>
      <c r="I11" s="240">
        <v>3.95E-2</v>
      </c>
    </row>
    <row r="12" spans="1:9" x14ac:dyDescent="0.2">
      <c r="A12" s="212">
        <v>36</v>
      </c>
      <c r="B12" s="213" t="s">
        <v>144</v>
      </c>
      <c r="C12" s="212">
        <v>1</v>
      </c>
      <c r="D12" s="213">
        <v>913100</v>
      </c>
      <c r="E12" s="215">
        <v>7.6499999999999999E-2</v>
      </c>
      <c r="F12" s="217"/>
      <c r="G12" s="215">
        <v>0.1285</v>
      </c>
      <c r="H12" s="232">
        <v>5471</v>
      </c>
      <c r="I12" s="240">
        <v>3.95E-2</v>
      </c>
    </row>
    <row r="13" spans="1:9" x14ac:dyDescent="0.2">
      <c r="A13" s="212">
        <v>40</v>
      </c>
      <c r="B13" s="213" t="s">
        <v>145</v>
      </c>
      <c r="C13" s="225"/>
      <c r="D13" s="213">
        <v>911200</v>
      </c>
      <c r="E13" s="214">
        <v>7.6499999999999999E-2</v>
      </c>
      <c r="F13" s="218"/>
      <c r="G13" s="223"/>
      <c r="H13" s="246" t="s">
        <v>188</v>
      </c>
      <c r="I13" s="240">
        <v>2.41E-2</v>
      </c>
    </row>
    <row r="14" spans="1:9" x14ac:dyDescent="0.2">
      <c r="A14" s="212">
        <v>50</v>
      </c>
      <c r="B14" s="213" t="s">
        <v>196</v>
      </c>
      <c r="C14" s="225"/>
      <c r="D14" s="213">
        <v>911200</v>
      </c>
      <c r="E14" s="214">
        <v>7.6499999999999999E-2</v>
      </c>
      <c r="F14" s="219"/>
      <c r="G14" s="223"/>
      <c r="H14" s="245"/>
      <c r="I14" s="240">
        <v>2.41E-2</v>
      </c>
    </row>
    <row r="15" spans="1:9" x14ac:dyDescent="0.2">
      <c r="A15" s="212">
        <v>45</v>
      </c>
      <c r="B15" s="213" t="s">
        <v>149</v>
      </c>
      <c r="C15" s="225"/>
      <c r="D15" s="213">
        <v>911300</v>
      </c>
      <c r="E15" s="215">
        <v>7.6499999999999999E-2</v>
      </c>
      <c r="F15" s="219"/>
      <c r="G15" s="223"/>
      <c r="H15" s="224"/>
      <c r="I15" s="240">
        <v>3.95E-2</v>
      </c>
    </row>
    <row r="16" spans="1:9" x14ac:dyDescent="0.2">
      <c r="A16" s="212">
        <v>45</v>
      </c>
      <c r="B16" s="213" t="s">
        <v>151</v>
      </c>
      <c r="C16" s="225"/>
      <c r="D16" s="213">
        <v>913300</v>
      </c>
      <c r="E16" s="215">
        <v>7.6499999999999999E-2</v>
      </c>
      <c r="F16" s="219"/>
      <c r="G16" s="223"/>
      <c r="H16" s="224"/>
      <c r="I16" s="240">
        <v>3.95E-2</v>
      </c>
    </row>
    <row r="17" spans="1:9" x14ac:dyDescent="0.2">
      <c r="A17" s="212">
        <v>50</v>
      </c>
      <c r="B17" s="213" t="s">
        <v>197</v>
      </c>
      <c r="C17" s="225"/>
      <c r="D17" s="213">
        <v>913200</v>
      </c>
      <c r="E17" s="215">
        <v>7.6499999999999999E-2</v>
      </c>
      <c r="F17" s="219"/>
      <c r="G17" s="223"/>
      <c r="H17" s="224"/>
      <c r="I17" s="240">
        <v>3.95E-2</v>
      </c>
    </row>
    <row r="18" spans="1:9" x14ac:dyDescent="0.2">
      <c r="A18" s="212">
        <v>60</v>
      </c>
      <c r="B18" s="213" t="s">
        <v>161</v>
      </c>
      <c r="C18" s="213" t="s">
        <v>160</v>
      </c>
      <c r="D18" s="213">
        <v>913250</v>
      </c>
      <c r="E18" s="214" t="s">
        <v>174</v>
      </c>
      <c r="F18" s="220"/>
      <c r="G18" s="217"/>
      <c r="H18" s="233">
        <f>863.5*2</f>
        <v>1727</v>
      </c>
      <c r="I18" s="240">
        <v>2.41E-2</v>
      </c>
    </row>
    <row r="19" spans="1:9" x14ac:dyDescent="0.2">
      <c r="A19" s="212">
        <v>60</v>
      </c>
      <c r="B19" s="213" t="s">
        <v>162</v>
      </c>
      <c r="C19" s="213" t="s">
        <v>160</v>
      </c>
      <c r="D19" s="213">
        <v>911250</v>
      </c>
      <c r="E19" s="214" t="s">
        <v>174</v>
      </c>
      <c r="F19" s="220"/>
      <c r="G19" s="217"/>
      <c r="H19" s="233">
        <f t="shared" ref="H19:H20" si="0">863.5*2</f>
        <v>1727</v>
      </c>
      <c r="I19" s="240">
        <v>2.41E-2</v>
      </c>
    </row>
    <row r="20" spans="1:9" x14ac:dyDescent="0.2">
      <c r="A20" s="212">
        <v>60</v>
      </c>
      <c r="B20" s="213" t="s">
        <v>163</v>
      </c>
      <c r="C20" s="213" t="s">
        <v>160</v>
      </c>
      <c r="D20" s="213">
        <v>911260</v>
      </c>
      <c r="E20" s="214" t="s">
        <v>174</v>
      </c>
      <c r="F20" s="220"/>
      <c r="G20" s="217"/>
      <c r="H20" s="233">
        <f t="shared" si="0"/>
        <v>1727</v>
      </c>
      <c r="I20" s="240">
        <v>2.41E-2</v>
      </c>
    </row>
    <row r="21" spans="1:9" x14ac:dyDescent="0.2">
      <c r="A21" s="212">
        <v>70</v>
      </c>
      <c r="B21" s="213" t="s">
        <v>164</v>
      </c>
      <c r="C21" s="213" t="s">
        <v>165</v>
      </c>
      <c r="D21" s="213">
        <v>915020</v>
      </c>
      <c r="E21" s="228" t="s">
        <v>174</v>
      </c>
      <c r="F21" s="217"/>
      <c r="G21" s="217"/>
      <c r="H21" s="235"/>
      <c r="I21" s="240">
        <v>2.41E-2</v>
      </c>
    </row>
    <row r="22" spans="1:9" x14ac:dyDescent="0.2">
      <c r="A22" s="212">
        <v>72</v>
      </c>
      <c r="B22" s="213" t="s">
        <v>150</v>
      </c>
      <c r="C22" s="213" t="s">
        <v>165</v>
      </c>
      <c r="D22" s="213">
        <v>915020</v>
      </c>
      <c r="E22" s="229" t="s">
        <v>174</v>
      </c>
      <c r="F22" s="221"/>
      <c r="G22" s="221"/>
      <c r="H22" s="236"/>
      <c r="I22" s="240">
        <v>2.41E-2</v>
      </c>
    </row>
    <row r="23" spans="1:9" x14ac:dyDescent="0.2">
      <c r="A23" s="212">
        <v>75</v>
      </c>
      <c r="B23" s="213" t="s">
        <v>152</v>
      </c>
      <c r="C23" s="213" t="s">
        <v>165</v>
      </c>
      <c r="D23" s="213">
        <v>915020</v>
      </c>
      <c r="E23" s="229" t="s">
        <v>174</v>
      </c>
      <c r="F23" s="221"/>
      <c r="G23" s="221"/>
      <c r="H23" s="236"/>
      <c r="I23" s="240">
        <v>2.41E-2</v>
      </c>
    </row>
    <row r="24" spans="1:9" x14ac:dyDescent="0.2">
      <c r="A24" s="212" t="s">
        <v>172</v>
      </c>
      <c r="B24" s="213" t="s">
        <v>173</v>
      </c>
      <c r="C24" s="213" t="s">
        <v>170</v>
      </c>
      <c r="D24" s="227" t="s">
        <v>171</v>
      </c>
      <c r="E24" s="230" t="s">
        <v>174</v>
      </c>
      <c r="F24" s="222"/>
      <c r="G24" s="222"/>
      <c r="H24" s="237"/>
      <c r="I24" s="240">
        <v>2.41E-2</v>
      </c>
    </row>
    <row r="25" spans="1:9" x14ac:dyDescent="0.2">
      <c r="H25" s="208"/>
      <c r="I25" s="208"/>
    </row>
    <row r="26" spans="1:9" x14ac:dyDescent="0.2">
      <c r="A26" s="226" t="s">
        <v>167</v>
      </c>
      <c r="B26" s="204" t="s">
        <v>166</v>
      </c>
      <c r="H26" s="208"/>
      <c r="I26" s="208"/>
    </row>
    <row r="27" spans="1:9" x14ac:dyDescent="0.2">
      <c r="A27" s="226" t="s">
        <v>168</v>
      </c>
      <c r="B27" s="204" t="s">
        <v>169</v>
      </c>
      <c r="H27" s="208"/>
      <c r="I27" s="208"/>
    </row>
  </sheetData>
  <mergeCells count="1">
    <mergeCell ref="E1:I1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29"/>
  <sheetViews>
    <sheetView workbookViewId="0"/>
  </sheetViews>
  <sheetFormatPr defaultColWidth="9.140625" defaultRowHeight="12" x14ac:dyDescent="0.2"/>
  <cols>
    <col min="1" max="1" width="51.5703125" style="34" customWidth="1"/>
    <col min="2" max="2" width="9.5703125" style="34" bestFit="1" customWidth="1"/>
    <col min="3" max="3" width="9" style="34" bestFit="1" customWidth="1"/>
    <col min="4" max="4" width="3.42578125" style="34" customWidth="1"/>
    <col min="5" max="5" width="51.42578125" style="34" bestFit="1" customWidth="1"/>
    <col min="6" max="6" width="9.85546875" style="34" customWidth="1"/>
    <col min="7" max="7" width="9.5703125" style="34" customWidth="1"/>
    <col min="8" max="16384" width="9.140625" style="34"/>
  </cols>
  <sheetData>
    <row r="1" spans="1:7" ht="18" x14ac:dyDescent="0.25">
      <c r="A1" s="82" t="s">
        <v>181</v>
      </c>
    </row>
    <row r="3" spans="1:7" x14ac:dyDescent="0.2">
      <c r="A3" s="35"/>
    </row>
    <row r="4" spans="1:7" ht="12.75" x14ac:dyDescent="0.2">
      <c r="A4" s="141" t="s">
        <v>20</v>
      </c>
      <c r="B4" s="140"/>
      <c r="C4" s="140"/>
      <c r="E4" s="35" t="s">
        <v>21</v>
      </c>
    </row>
    <row r="5" spans="1:7" x14ac:dyDescent="0.2">
      <c r="A5" s="142"/>
      <c r="B5" s="143" t="s">
        <v>10</v>
      </c>
      <c r="C5" s="144" t="s">
        <v>11</v>
      </c>
      <c r="E5" s="117"/>
      <c r="F5" s="118" t="s">
        <v>10</v>
      </c>
      <c r="G5" s="119" t="s">
        <v>11</v>
      </c>
    </row>
    <row r="6" spans="1:7" x14ac:dyDescent="0.2">
      <c r="A6" s="145" t="s">
        <v>72</v>
      </c>
      <c r="B6" s="146">
        <v>100000</v>
      </c>
      <c r="C6" s="147">
        <v>100000</v>
      </c>
      <c r="E6" s="120" t="s">
        <v>73</v>
      </c>
      <c r="F6" s="121">
        <v>100000</v>
      </c>
      <c r="G6" s="41">
        <v>100000</v>
      </c>
    </row>
    <row r="7" spans="1:7" x14ac:dyDescent="0.2">
      <c r="A7" s="153" t="s">
        <v>182</v>
      </c>
      <c r="B7" s="148">
        <f>-C23</f>
        <v>-5471</v>
      </c>
      <c r="C7" s="149">
        <f>-C23</f>
        <v>-5471</v>
      </c>
      <c r="E7" s="145" t="s">
        <v>102</v>
      </c>
      <c r="F7" s="121">
        <f>F6*C20</f>
        <v>7650</v>
      </c>
      <c r="G7" s="41">
        <f>G6*C20</f>
        <v>7650</v>
      </c>
    </row>
    <row r="8" spans="1:7" x14ac:dyDescent="0.2">
      <c r="A8" s="145" t="s">
        <v>12</v>
      </c>
      <c r="B8" s="146">
        <f>SUM(B6:B7)</f>
        <v>94529</v>
      </c>
      <c r="C8" s="147">
        <f>SUM(C6:C7)</f>
        <v>94529</v>
      </c>
      <c r="E8" s="120" t="s">
        <v>208</v>
      </c>
      <c r="F8" s="121">
        <f>F6*C21</f>
        <v>15320</v>
      </c>
      <c r="G8" s="41">
        <f>G6*C22</f>
        <v>12850</v>
      </c>
    </row>
    <row r="9" spans="1:7" x14ac:dyDescent="0.2">
      <c r="A9" s="145"/>
      <c r="B9" s="146"/>
      <c r="C9" s="147"/>
      <c r="E9" s="145" t="s">
        <v>186</v>
      </c>
      <c r="F9" s="121">
        <f>F6*C24</f>
        <v>3950</v>
      </c>
      <c r="G9" s="41">
        <f>G6*C24</f>
        <v>3950</v>
      </c>
    </row>
    <row r="10" spans="1:7" x14ac:dyDescent="0.2">
      <c r="A10" s="145" t="s">
        <v>101</v>
      </c>
      <c r="B10" s="146">
        <f>B8/1.2692</f>
        <v>74479.199495745343</v>
      </c>
      <c r="C10" s="147">
        <f>C8/1.2445</f>
        <v>75957.412615508234</v>
      </c>
      <c r="E10" s="120" t="s">
        <v>0</v>
      </c>
      <c r="F10" s="42">
        <f>C23</f>
        <v>5471</v>
      </c>
      <c r="G10" s="43">
        <f>C23</f>
        <v>5471</v>
      </c>
    </row>
    <row r="11" spans="1:7" x14ac:dyDescent="0.2">
      <c r="A11" s="145" t="s">
        <v>102</v>
      </c>
      <c r="B11" s="146">
        <f>B10*C20</f>
        <v>5697.6587614245182</v>
      </c>
      <c r="C11" s="147">
        <f>C10*C20</f>
        <v>5810.7420650863796</v>
      </c>
      <c r="E11" s="120"/>
      <c r="F11" s="121"/>
      <c r="G11" s="41"/>
    </row>
    <row r="12" spans="1:7" x14ac:dyDescent="0.2">
      <c r="A12" s="120" t="s">
        <v>208</v>
      </c>
      <c r="B12" s="121">
        <f>B10*C21</f>
        <v>11410.213362748187</v>
      </c>
      <c r="C12" s="41">
        <f>C10*C22</f>
        <v>9760.5275210928085</v>
      </c>
      <c r="E12" s="120" t="s">
        <v>90</v>
      </c>
      <c r="F12" s="121">
        <f>SUM(F6:F10)</f>
        <v>132391</v>
      </c>
      <c r="G12" s="41">
        <f>SUM(G6:G10)</f>
        <v>129921</v>
      </c>
    </row>
    <row r="13" spans="1:7" x14ac:dyDescent="0.2">
      <c r="A13" s="145" t="s">
        <v>186</v>
      </c>
      <c r="B13" s="186">
        <f>B10*C24</f>
        <v>2941.9283800819412</v>
      </c>
      <c r="C13" s="147">
        <f>C10*C24</f>
        <v>3000.3177983125752</v>
      </c>
      <c r="E13" s="120"/>
      <c r="F13" s="44"/>
      <c r="G13" s="126"/>
    </row>
    <row r="14" spans="1:7" x14ac:dyDescent="0.2">
      <c r="A14" s="145" t="s">
        <v>0</v>
      </c>
      <c r="B14" s="148">
        <f>C23</f>
        <v>5471</v>
      </c>
      <c r="C14" s="149">
        <f>C23</f>
        <v>5471</v>
      </c>
      <c r="E14" s="155" t="s">
        <v>105</v>
      </c>
      <c r="F14" s="156">
        <f>(SUM((F7:F10))/F6)</f>
        <v>0.32390999999999998</v>
      </c>
      <c r="G14" s="157">
        <f>(SUM((G7:G10))/G6)</f>
        <v>0.29920999999999998</v>
      </c>
    </row>
    <row r="15" spans="1:7" x14ac:dyDescent="0.2">
      <c r="A15" s="150" t="s">
        <v>13</v>
      </c>
      <c r="B15" s="151">
        <f>SUM(B10:B14)</f>
        <v>99999.999999999985</v>
      </c>
      <c r="C15" s="152">
        <f>SUM(C10:C14)</f>
        <v>100000</v>
      </c>
    </row>
    <row r="16" spans="1:7" x14ac:dyDescent="0.2">
      <c r="B16" s="51"/>
    </row>
    <row r="17" spans="1:4" ht="12.75" x14ac:dyDescent="0.2">
      <c r="A17" s="244" t="s">
        <v>195</v>
      </c>
      <c r="B17" s="160"/>
      <c r="C17" s="161"/>
    </row>
    <row r="18" spans="1:4" x14ac:dyDescent="0.2">
      <c r="A18" s="162"/>
      <c r="B18" s="163"/>
      <c r="C18" s="164"/>
    </row>
    <row r="19" spans="1:4" x14ac:dyDescent="0.2">
      <c r="A19" s="165" t="s">
        <v>1</v>
      </c>
      <c r="B19" s="166" t="s">
        <v>2</v>
      </c>
      <c r="C19" s="167" t="s">
        <v>3</v>
      </c>
    </row>
    <row r="20" spans="1:4" x14ac:dyDescent="0.2">
      <c r="A20" s="168" t="s">
        <v>4</v>
      </c>
      <c r="B20" s="169">
        <v>919150</v>
      </c>
      <c r="C20" s="182">
        <v>7.6499999999999999E-2</v>
      </c>
    </row>
    <row r="21" spans="1:4" x14ac:dyDescent="0.2">
      <c r="A21" s="168" t="s">
        <v>57</v>
      </c>
      <c r="B21" s="169">
        <v>919050</v>
      </c>
      <c r="C21" s="182">
        <v>0.1532</v>
      </c>
    </row>
    <row r="22" spans="1:4" x14ac:dyDescent="0.2">
      <c r="A22" s="168" t="s">
        <v>7</v>
      </c>
      <c r="B22" s="169">
        <v>918000</v>
      </c>
      <c r="C22" s="182">
        <v>0.1285</v>
      </c>
      <c r="D22" s="34" t="s">
        <v>22</v>
      </c>
    </row>
    <row r="23" spans="1:4" x14ac:dyDescent="0.2">
      <c r="A23" s="168" t="s">
        <v>6</v>
      </c>
      <c r="B23" s="169">
        <v>917000</v>
      </c>
      <c r="C23" s="170">
        <v>5471</v>
      </c>
    </row>
    <row r="24" spans="1:4" x14ac:dyDescent="0.2">
      <c r="A24" s="93" t="s">
        <v>121</v>
      </c>
      <c r="B24" s="158">
        <v>919700</v>
      </c>
      <c r="C24" s="183">
        <v>3.95E-2</v>
      </c>
    </row>
    <row r="25" spans="1:4" x14ac:dyDescent="0.2">
      <c r="A25" s="168"/>
      <c r="B25" s="169"/>
      <c r="C25" s="173"/>
    </row>
    <row r="26" spans="1:4" x14ac:dyDescent="0.2">
      <c r="A26" s="168" t="s">
        <v>97</v>
      </c>
      <c r="B26" s="184">
        <f>SUM(C20+C21+C24)</f>
        <v>0.26919999999999999</v>
      </c>
      <c r="C26" s="164"/>
    </row>
    <row r="27" spans="1:4" x14ac:dyDescent="0.2">
      <c r="A27" s="171" t="s">
        <v>98</v>
      </c>
      <c r="B27" s="185">
        <f>C20+C22+C24</f>
        <v>0.24450000000000002</v>
      </c>
      <c r="C27" s="172"/>
    </row>
    <row r="29" spans="1:4" x14ac:dyDescent="0.2">
      <c r="A29" s="34" t="str">
        <f>' FY 15-16 GF Calculator'!A28</f>
        <v>Updated: 9/18/15</v>
      </c>
    </row>
  </sheetData>
  <printOptions horizontalCentered="1"/>
  <pageMargins left="0.1" right="0.1" top="1" bottom="1" header="0.5" footer="0.5"/>
  <pageSetup scale="85" orientation="landscape" cellComments="asDisplayed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L41"/>
  <sheetViews>
    <sheetView workbookViewId="0"/>
  </sheetViews>
  <sheetFormatPr defaultColWidth="8.85546875" defaultRowHeight="11.25" x14ac:dyDescent="0.2"/>
  <cols>
    <col min="1" max="1" width="11" style="208" customWidth="1"/>
    <col min="2" max="2" width="42.85546875" style="204" customWidth="1"/>
    <col min="3" max="3" width="8.5703125" style="204" customWidth="1"/>
    <col min="4" max="4" width="6.140625" style="204" bestFit="1" customWidth="1"/>
    <col min="5" max="8" width="8.5703125" style="208" customWidth="1"/>
    <col min="9" max="10" width="8.5703125" style="204" customWidth="1"/>
    <col min="11" max="11" width="3.85546875" style="204" customWidth="1"/>
    <col min="12" max="12" width="29.5703125" style="204" customWidth="1"/>
    <col min="13" max="16384" width="8.85546875" style="204"/>
  </cols>
  <sheetData>
    <row r="1" spans="1:12" ht="15" x14ac:dyDescent="0.25">
      <c r="E1" s="376" t="s">
        <v>178</v>
      </c>
      <c r="F1" s="376"/>
      <c r="G1" s="376"/>
      <c r="H1" s="376"/>
      <c r="I1" s="376"/>
      <c r="J1" s="247"/>
      <c r="K1" s="247"/>
      <c r="L1" s="263" t="s">
        <v>201</v>
      </c>
    </row>
    <row r="2" spans="1:12" s="207" customFormat="1" ht="68.45" customHeight="1" x14ac:dyDescent="0.2">
      <c r="A2" s="206" t="s">
        <v>136</v>
      </c>
      <c r="B2" s="207" t="s">
        <v>137</v>
      </c>
      <c r="C2" s="207" t="s">
        <v>159</v>
      </c>
      <c r="D2" s="206" t="s">
        <v>138</v>
      </c>
      <c r="E2" s="231" t="s">
        <v>146</v>
      </c>
      <c r="F2" s="231" t="s">
        <v>147</v>
      </c>
      <c r="G2" s="294" t="s">
        <v>253</v>
      </c>
      <c r="H2" s="231" t="s">
        <v>148</v>
      </c>
      <c r="I2" s="293" t="s">
        <v>254</v>
      </c>
      <c r="J2" s="265" t="s">
        <v>199</v>
      </c>
      <c r="K2" s="260"/>
      <c r="L2" s="272" t="s">
        <v>199</v>
      </c>
    </row>
    <row r="3" spans="1:12" x14ac:dyDescent="0.2">
      <c r="A3" s="209">
        <v>10</v>
      </c>
      <c r="B3" s="210" t="s">
        <v>229</v>
      </c>
      <c r="C3" s="209" t="s">
        <v>155</v>
      </c>
      <c r="D3" s="210">
        <v>912100</v>
      </c>
      <c r="E3" s="211">
        <v>7.6499999999999999E-2</v>
      </c>
      <c r="F3" s="211">
        <v>0.17130000000000001</v>
      </c>
      <c r="G3" s="251"/>
      <c r="H3" s="251"/>
      <c r="I3" s="232">
        <v>5869</v>
      </c>
      <c r="J3" s="269" t="s">
        <v>198</v>
      </c>
      <c r="K3" s="248"/>
      <c r="L3" s="273" t="s">
        <v>198</v>
      </c>
    </row>
    <row r="4" spans="1:12" x14ac:dyDescent="0.2">
      <c r="A4" s="212">
        <v>10</v>
      </c>
      <c r="B4" s="290" t="s">
        <v>250</v>
      </c>
      <c r="C4" s="209" t="s">
        <v>155</v>
      </c>
      <c r="D4" s="210">
        <v>912090</v>
      </c>
      <c r="E4" s="214">
        <v>7.6499999999999999E-2</v>
      </c>
      <c r="F4" s="251"/>
      <c r="G4" s="291">
        <v>0.2213</v>
      </c>
      <c r="H4" s="250"/>
      <c r="I4" s="232">
        <v>5869</v>
      </c>
      <c r="J4" s="269" t="s">
        <v>198</v>
      </c>
      <c r="K4" s="248"/>
      <c r="L4" s="292" t="s">
        <v>218</v>
      </c>
    </row>
    <row r="5" spans="1:12" x14ac:dyDescent="0.2">
      <c r="A5" s="212">
        <v>10</v>
      </c>
      <c r="B5" s="213" t="s">
        <v>230</v>
      </c>
      <c r="C5" s="209" t="s">
        <v>156</v>
      </c>
      <c r="D5" s="210">
        <v>912100</v>
      </c>
      <c r="E5" s="214">
        <v>7.6499999999999999E-2</v>
      </c>
      <c r="F5" s="249"/>
      <c r="G5" s="249"/>
      <c r="H5" s="250"/>
      <c r="I5" s="257"/>
      <c r="J5" s="270" t="s">
        <v>198</v>
      </c>
      <c r="K5" s="248"/>
      <c r="L5" s="275" t="s">
        <v>198</v>
      </c>
    </row>
    <row r="6" spans="1:12" x14ac:dyDescent="0.2">
      <c r="A6" s="212">
        <v>15</v>
      </c>
      <c r="B6" s="213" t="s">
        <v>231</v>
      </c>
      <c r="C6" s="253"/>
      <c r="D6" s="213">
        <v>915900</v>
      </c>
      <c r="E6" s="215">
        <v>7.6499999999999999E-2</v>
      </c>
      <c r="F6" s="249"/>
      <c r="G6" s="249"/>
      <c r="H6" s="250"/>
      <c r="I6" s="257"/>
      <c r="J6" s="271" t="s">
        <v>200</v>
      </c>
      <c r="K6" s="248"/>
      <c r="L6" s="275" t="s">
        <v>198</v>
      </c>
    </row>
    <row r="7" spans="1:12" x14ac:dyDescent="0.2">
      <c r="A7" s="212">
        <v>18</v>
      </c>
      <c r="B7" s="213" t="s">
        <v>232</v>
      </c>
      <c r="C7" s="253"/>
      <c r="D7" s="213">
        <v>915900</v>
      </c>
      <c r="E7" s="215">
        <v>7.6499999999999999E-2</v>
      </c>
      <c r="F7" s="249"/>
      <c r="G7" s="249"/>
      <c r="H7" s="250"/>
      <c r="I7" s="257"/>
      <c r="J7" s="271" t="s">
        <v>200</v>
      </c>
      <c r="K7" s="248"/>
      <c r="L7" s="275" t="s">
        <v>198</v>
      </c>
    </row>
    <row r="8" spans="1:12" x14ac:dyDescent="0.2">
      <c r="A8" s="212">
        <v>19</v>
      </c>
      <c r="B8" s="213" t="s">
        <v>233</v>
      </c>
      <c r="C8" s="253"/>
      <c r="D8" s="213">
        <v>915900</v>
      </c>
      <c r="E8" s="215">
        <v>7.6499999999999999E-2</v>
      </c>
      <c r="F8" s="249"/>
      <c r="G8" s="249"/>
      <c r="H8" s="250"/>
      <c r="I8" s="257"/>
      <c r="J8" s="271" t="s">
        <v>200</v>
      </c>
      <c r="K8" s="248"/>
      <c r="L8" s="275" t="s">
        <v>198</v>
      </c>
    </row>
    <row r="9" spans="1:12" x14ac:dyDescent="0.2">
      <c r="A9" s="212">
        <v>20</v>
      </c>
      <c r="B9" s="213" t="s">
        <v>234</v>
      </c>
      <c r="C9" s="209" t="s">
        <v>155</v>
      </c>
      <c r="D9" s="213">
        <v>911100</v>
      </c>
      <c r="E9" s="215">
        <v>7.6499999999999999E-2</v>
      </c>
      <c r="F9" s="249"/>
      <c r="G9" s="249"/>
      <c r="H9" s="215">
        <v>0.1303</v>
      </c>
      <c r="I9" s="234">
        <v>5869</v>
      </c>
      <c r="J9" s="270" t="s">
        <v>198</v>
      </c>
      <c r="K9" s="248"/>
      <c r="L9" s="275" t="s">
        <v>198</v>
      </c>
    </row>
    <row r="10" spans="1:12" x14ac:dyDescent="0.2">
      <c r="A10" s="212">
        <v>20</v>
      </c>
      <c r="B10" s="290" t="s">
        <v>251</v>
      </c>
      <c r="C10" s="209" t="s">
        <v>155</v>
      </c>
      <c r="D10" s="213">
        <v>911090</v>
      </c>
      <c r="E10" s="215">
        <v>7.6499999999999999E-2</v>
      </c>
      <c r="F10" s="249"/>
      <c r="G10" s="215">
        <v>0.2213</v>
      </c>
      <c r="H10" s="249"/>
      <c r="I10" s="234">
        <v>5869</v>
      </c>
      <c r="J10" s="270" t="s">
        <v>198</v>
      </c>
      <c r="K10" s="248"/>
      <c r="L10" s="292" t="s">
        <v>218</v>
      </c>
    </row>
    <row r="11" spans="1:12" x14ac:dyDescent="0.2">
      <c r="A11" s="212">
        <v>20</v>
      </c>
      <c r="B11" s="213" t="s">
        <v>235</v>
      </c>
      <c r="C11" s="209" t="s">
        <v>156</v>
      </c>
      <c r="D11" s="213">
        <v>911100</v>
      </c>
      <c r="E11" s="215">
        <v>7.6499999999999999E-2</v>
      </c>
      <c r="F11" s="249"/>
      <c r="G11" s="249"/>
      <c r="H11" s="249"/>
      <c r="I11" s="257"/>
      <c r="J11" s="270" t="s">
        <v>198</v>
      </c>
      <c r="K11" s="248"/>
      <c r="L11" s="275" t="s">
        <v>198</v>
      </c>
    </row>
    <row r="12" spans="1:12" x14ac:dyDescent="0.2">
      <c r="A12" s="212">
        <v>30</v>
      </c>
      <c r="B12" s="213" t="s">
        <v>236</v>
      </c>
      <c r="C12" s="212">
        <v>1</v>
      </c>
      <c r="D12" s="213">
        <v>913100</v>
      </c>
      <c r="E12" s="215">
        <v>7.6499999999999999E-2</v>
      </c>
      <c r="F12" s="249"/>
      <c r="G12" s="249"/>
      <c r="H12" s="215">
        <v>0.1303</v>
      </c>
      <c r="I12" s="234">
        <v>5869</v>
      </c>
      <c r="J12" s="270" t="s">
        <v>198</v>
      </c>
      <c r="K12" s="248"/>
      <c r="L12" s="275" t="s">
        <v>198</v>
      </c>
    </row>
    <row r="13" spans="1:12" x14ac:dyDescent="0.2">
      <c r="A13" s="212">
        <v>32</v>
      </c>
      <c r="B13" s="213" t="s">
        <v>237</v>
      </c>
      <c r="C13" s="212">
        <v>1</v>
      </c>
      <c r="D13" s="213">
        <v>913100</v>
      </c>
      <c r="E13" s="215">
        <v>7.6499999999999999E-2</v>
      </c>
      <c r="F13" s="250"/>
      <c r="G13" s="250"/>
      <c r="H13" s="215">
        <v>0.1303</v>
      </c>
      <c r="I13" s="234">
        <v>5869</v>
      </c>
      <c r="J13" s="270" t="s">
        <v>198</v>
      </c>
      <c r="K13" s="248"/>
      <c r="L13" s="275" t="s">
        <v>198</v>
      </c>
    </row>
    <row r="14" spans="1:12" x14ac:dyDescent="0.2">
      <c r="A14" s="212">
        <v>36</v>
      </c>
      <c r="B14" s="213" t="s">
        <v>238</v>
      </c>
      <c r="C14" s="212">
        <v>1</v>
      </c>
      <c r="D14" s="213">
        <v>913100</v>
      </c>
      <c r="E14" s="215">
        <v>7.6499999999999999E-2</v>
      </c>
      <c r="F14" s="250"/>
      <c r="G14" s="250"/>
      <c r="H14" s="215">
        <v>0.1303</v>
      </c>
      <c r="I14" s="234">
        <v>5869</v>
      </c>
      <c r="J14" s="270" t="s">
        <v>198</v>
      </c>
      <c r="K14" s="248"/>
      <c r="L14" s="275" t="s">
        <v>198</v>
      </c>
    </row>
    <row r="15" spans="1:12" x14ac:dyDescent="0.2">
      <c r="A15" s="212">
        <v>40</v>
      </c>
      <c r="B15" s="213" t="s">
        <v>239</v>
      </c>
      <c r="C15" s="264"/>
      <c r="D15" s="213">
        <v>911200</v>
      </c>
      <c r="E15" s="214">
        <v>7.6499999999999999E-2</v>
      </c>
      <c r="F15" s="295"/>
      <c r="G15" s="249"/>
      <c r="H15" s="255"/>
      <c r="I15" s="257" t="s">
        <v>218</v>
      </c>
      <c r="J15" s="271" t="s">
        <v>200</v>
      </c>
      <c r="K15" s="248"/>
      <c r="L15" s="275" t="s">
        <v>198</v>
      </c>
    </row>
    <row r="16" spans="1:12" x14ac:dyDescent="0.2">
      <c r="A16" s="212">
        <v>50</v>
      </c>
      <c r="B16" s="213" t="s">
        <v>240</v>
      </c>
      <c r="C16" s="264"/>
      <c r="D16" s="213">
        <v>911200</v>
      </c>
      <c r="E16" s="214">
        <v>7.6499999999999999E-2</v>
      </c>
      <c r="F16" s="252"/>
      <c r="G16" s="249"/>
      <c r="H16" s="255"/>
      <c r="I16" s="256"/>
      <c r="J16" s="271" t="s">
        <v>200</v>
      </c>
      <c r="K16" s="248"/>
      <c r="L16" s="275" t="s">
        <v>198</v>
      </c>
    </row>
    <row r="17" spans="1:12" x14ac:dyDescent="0.2">
      <c r="A17" s="212">
        <v>45</v>
      </c>
      <c r="B17" s="213" t="s">
        <v>241</v>
      </c>
      <c r="C17" s="264"/>
      <c r="D17" s="213">
        <v>911300</v>
      </c>
      <c r="E17" s="215">
        <v>7.6499999999999999E-2</v>
      </c>
      <c r="F17" s="252"/>
      <c r="G17" s="249"/>
      <c r="H17" s="255"/>
      <c r="I17" s="256"/>
      <c r="J17" s="271" t="s">
        <v>200</v>
      </c>
      <c r="K17" s="248"/>
      <c r="L17" s="275" t="s">
        <v>198</v>
      </c>
    </row>
    <row r="18" spans="1:12" x14ac:dyDescent="0.2">
      <c r="A18" s="212">
        <v>45</v>
      </c>
      <c r="B18" s="213" t="s">
        <v>242</v>
      </c>
      <c r="C18" s="264"/>
      <c r="D18" s="213">
        <v>913300</v>
      </c>
      <c r="E18" s="215">
        <v>7.6499999999999999E-2</v>
      </c>
      <c r="F18" s="252"/>
      <c r="G18" s="249"/>
      <c r="H18" s="255"/>
      <c r="I18" s="256"/>
      <c r="J18" s="271" t="s">
        <v>200</v>
      </c>
      <c r="K18" s="248"/>
      <c r="L18" s="275" t="s">
        <v>198</v>
      </c>
    </row>
    <row r="19" spans="1:12" x14ac:dyDescent="0.2">
      <c r="A19" s="212">
        <v>50</v>
      </c>
      <c r="B19" s="213" t="s">
        <v>243</v>
      </c>
      <c r="C19" s="264"/>
      <c r="D19" s="213">
        <v>913200</v>
      </c>
      <c r="E19" s="215">
        <v>7.6499999999999999E-2</v>
      </c>
      <c r="F19" s="252"/>
      <c r="G19" s="249"/>
      <c r="H19" s="255"/>
      <c r="I19" s="256"/>
      <c r="J19" s="271" t="s">
        <v>200</v>
      </c>
      <c r="K19" s="248"/>
      <c r="L19" s="275" t="s">
        <v>198</v>
      </c>
    </row>
    <row r="20" spans="1:12" x14ac:dyDescent="0.2">
      <c r="A20" s="212">
        <v>60</v>
      </c>
      <c r="B20" s="213" t="s">
        <v>161</v>
      </c>
      <c r="C20" s="213" t="s">
        <v>160</v>
      </c>
      <c r="D20" s="213">
        <v>913250</v>
      </c>
      <c r="E20" s="214" t="s">
        <v>174</v>
      </c>
      <c r="F20" s="253"/>
      <c r="G20" s="250"/>
      <c r="H20" s="250"/>
      <c r="I20" s="257"/>
      <c r="J20" s="271" t="s">
        <v>200</v>
      </c>
      <c r="K20" s="261"/>
      <c r="L20" s="249" t="s">
        <v>200</v>
      </c>
    </row>
    <row r="21" spans="1:12" x14ac:dyDescent="0.2">
      <c r="A21" s="212">
        <v>60</v>
      </c>
      <c r="B21" s="213" t="s">
        <v>162</v>
      </c>
      <c r="C21" s="213" t="s">
        <v>160</v>
      </c>
      <c r="D21" s="213">
        <v>911250</v>
      </c>
      <c r="E21" s="214" t="s">
        <v>174</v>
      </c>
      <c r="F21" s="253"/>
      <c r="G21" s="250"/>
      <c r="H21" s="250"/>
      <c r="I21" s="257"/>
      <c r="J21" s="271" t="s">
        <v>200</v>
      </c>
      <c r="K21" s="261"/>
      <c r="L21" s="249" t="s">
        <v>200</v>
      </c>
    </row>
    <row r="22" spans="1:12" x14ac:dyDescent="0.2">
      <c r="A22" s="212">
        <v>60</v>
      </c>
      <c r="B22" s="213" t="s">
        <v>163</v>
      </c>
      <c r="C22" s="213" t="s">
        <v>160</v>
      </c>
      <c r="D22" s="213">
        <v>911260</v>
      </c>
      <c r="E22" s="214" t="s">
        <v>174</v>
      </c>
      <c r="F22" s="253"/>
      <c r="G22" s="250"/>
      <c r="H22" s="250"/>
      <c r="I22" s="257"/>
      <c r="J22" s="271" t="s">
        <v>200</v>
      </c>
      <c r="K22" s="261"/>
      <c r="L22" s="249" t="s">
        <v>200</v>
      </c>
    </row>
    <row r="23" spans="1:12" x14ac:dyDescent="0.2">
      <c r="A23" s="212">
        <v>70</v>
      </c>
      <c r="B23" s="213" t="s">
        <v>164</v>
      </c>
      <c r="C23" s="213" t="s">
        <v>165</v>
      </c>
      <c r="D23" s="213">
        <v>915020</v>
      </c>
      <c r="E23" s="228" t="s">
        <v>174</v>
      </c>
      <c r="F23" s="250"/>
      <c r="G23" s="250"/>
      <c r="H23" s="250"/>
      <c r="I23" s="258"/>
      <c r="J23" s="271" t="s">
        <v>200</v>
      </c>
      <c r="K23" s="262"/>
      <c r="L23" s="249" t="s">
        <v>200</v>
      </c>
    </row>
    <row r="24" spans="1:12" x14ac:dyDescent="0.2">
      <c r="A24" s="212">
        <v>72</v>
      </c>
      <c r="B24" s="213" t="s">
        <v>150</v>
      </c>
      <c r="C24" s="213" t="s">
        <v>165</v>
      </c>
      <c r="D24" s="213">
        <v>915020</v>
      </c>
      <c r="E24" s="228" t="s">
        <v>174</v>
      </c>
      <c r="F24" s="250"/>
      <c r="G24" s="250"/>
      <c r="H24" s="250"/>
      <c r="I24" s="258"/>
      <c r="J24" s="271" t="s">
        <v>200</v>
      </c>
      <c r="K24" s="262"/>
      <c r="L24" s="249" t="s">
        <v>200</v>
      </c>
    </row>
    <row r="25" spans="1:12" x14ac:dyDescent="0.2">
      <c r="A25" s="212">
        <v>72</v>
      </c>
      <c r="B25" s="290" t="s">
        <v>252</v>
      </c>
      <c r="C25" s="290" t="s">
        <v>218</v>
      </c>
      <c r="D25" s="213">
        <v>915050</v>
      </c>
      <c r="E25" s="228" t="s">
        <v>174</v>
      </c>
      <c r="F25" s="250"/>
      <c r="G25" s="250"/>
      <c r="H25" s="250"/>
      <c r="I25" s="258"/>
      <c r="J25" s="271" t="s">
        <v>200</v>
      </c>
      <c r="K25" s="262"/>
      <c r="L25" s="249" t="s">
        <v>200</v>
      </c>
    </row>
    <row r="26" spans="1:12" x14ac:dyDescent="0.2">
      <c r="A26" s="212">
        <v>75</v>
      </c>
      <c r="B26" s="290" t="s">
        <v>249</v>
      </c>
      <c r="C26" s="213" t="s">
        <v>165</v>
      </c>
      <c r="D26" s="213">
        <v>915030</v>
      </c>
      <c r="E26" s="228" t="s">
        <v>174</v>
      </c>
      <c r="F26" s="250"/>
      <c r="G26" s="250"/>
      <c r="H26" s="250"/>
      <c r="I26" s="258"/>
      <c r="J26" s="271" t="s">
        <v>200</v>
      </c>
      <c r="K26" s="262"/>
      <c r="L26" s="249" t="s">
        <v>200</v>
      </c>
    </row>
    <row r="27" spans="1:12" x14ac:dyDescent="0.2">
      <c r="A27" s="212" t="s">
        <v>172</v>
      </c>
      <c r="B27" s="213" t="s">
        <v>173</v>
      </c>
      <c r="C27" s="213" t="s">
        <v>170</v>
      </c>
      <c r="D27" s="227" t="s">
        <v>171</v>
      </c>
      <c r="E27" s="230" t="s">
        <v>174</v>
      </c>
      <c r="F27" s="254"/>
      <c r="G27" s="254"/>
      <c r="H27" s="254"/>
      <c r="I27" s="259"/>
      <c r="J27" s="271" t="s">
        <v>200</v>
      </c>
      <c r="K27" s="262"/>
      <c r="L27" s="249" t="s">
        <v>200</v>
      </c>
    </row>
    <row r="28" spans="1:12" x14ac:dyDescent="0.2">
      <c r="I28" s="208"/>
      <c r="J28" s="208"/>
      <c r="K28" s="208"/>
    </row>
    <row r="29" spans="1:12" x14ac:dyDescent="0.2">
      <c r="A29" s="226" t="s">
        <v>167</v>
      </c>
      <c r="B29" s="204" t="s">
        <v>244</v>
      </c>
      <c r="I29" s="208"/>
      <c r="J29" s="208"/>
      <c r="K29" s="208"/>
    </row>
    <row r="30" spans="1:12" x14ac:dyDescent="0.2">
      <c r="A30" s="226" t="s">
        <v>168</v>
      </c>
      <c r="B30" s="204" t="s">
        <v>169</v>
      </c>
      <c r="I30" s="208"/>
      <c r="J30" s="208"/>
      <c r="K30" s="208"/>
    </row>
    <row r="33" spans="2:2" ht="12.75" x14ac:dyDescent="0.2">
      <c r="B33" s="285"/>
    </row>
    <row r="34" spans="2:2" ht="12.75" x14ac:dyDescent="0.2">
      <c r="B34" s="115"/>
    </row>
    <row r="35" spans="2:2" ht="12.75" x14ac:dyDescent="0.2">
      <c r="B35" s="285"/>
    </row>
    <row r="36" spans="2:2" ht="12.75" x14ac:dyDescent="0.2">
      <c r="B36" s="115"/>
    </row>
    <row r="37" spans="2:2" ht="12.75" x14ac:dyDescent="0.2">
      <c r="B37" s="285"/>
    </row>
    <row r="38" spans="2:2" ht="12.75" x14ac:dyDescent="0.2">
      <c r="B38" s="115"/>
    </row>
    <row r="39" spans="2:2" ht="12.75" x14ac:dyDescent="0.2">
      <c r="B39" s="285"/>
    </row>
    <row r="40" spans="2:2" ht="12.75" x14ac:dyDescent="0.2">
      <c r="B40" s="115"/>
    </row>
    <row r="41" spans="2:2" ht="12.75" x14ac:dyDescent="0.2">
      <c r="B41" s="285"/>
    </row>
  </sheetData>
  <mergeCells count="1">
    <mergeCell ref="E1:I1"/>
  </mergeCells>
  <pageMargins left="0.7" right="0.7" top="0.75" bottom="0.75" header="0.3" footer="0.3"/>
  <pageSetup scale="85" orientation="landscape" r:id="rId1"/>
  <headerFooter>
    <oddFooter>&amp;L&amp;Z&amp;F&amp;RPage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2"/>
  <dimension ref="A1:N39"/>
  <sheetViews>
    <sheetView topLeftCell="C7" workbookViewId="0">
      <selection activeCell="H18" sqref="H18"/>
    </sheetView>
  </sheetViews>
  <sheetFormatPr defaultColWidth="8.85546875" defaultRowHeight="11.25" x14ac:dyDescent="0.2"/>
  <cols>
    <col min="1" max="1" width="10.140625" style="208" customWidth="1"/>
    <col min="2" max="2" width="7.85546875" style="208" customWidth="1"/>
    <col min="3" max="3" width="32" style="204" customWidth="1"/>
    <col min="4" max="4" width="8.5703125" style="204" customWidth="1"/>
    <col min="5" max="5" width="6.140625" style="204" bestFit="1" customWidth="1"/>
    <col min="6" max="8" width="8.5703125" style="208" customWidth="1"/>
    <col min="9" max="10" width="8.5703125" style="204" customWidth="1"/>
    <col min="11" max="11" width="2.5703125" style="204" customWidth="1"/>
    <col min="12" max="12" width="18.85546875" style="204" customWidth="1"/>
    <col min="13" max="13" width="7.85546875" style="204" bestFit="1" customWidth="1"/>
    <col min="14" max="14" width="7.85546875" style="204" customWidth="1"/>
    <col min="15" max="16384" width="8.85546875" style="204"/>
  </cols>
  <sheetData>
    <row r="1" spans="1:14" ht="43.7" customHeight="1" x14ac:dyDescent="0.25">
      <c r="A1" s="344" t="s">
        <v>308</v>
      </c>
      <c r="F1" s="376" t="s">
        <v>178</v>
      </c>
      <c r="G1" s="376"/>
      <c r="H1" s="376"/>
      <c r="I1" s="376"/>
      <c r="J1" s="247"/>
      <c r="K1" s="247"/>
      <c r="L1" s="346" t="s">
        <v>201</v>
      </c>
      <c r="M1" s="378" t="s">
        <v>303</v>
      </c>
      <c r="N1" s="378"/>
    </row>
    <row r="2" spans="1:14" s="207" customFormat="1" ht="68.45" customHeight="1" x14ac:dyDescent="0.2">
      <c r="A2" s="206" t="s">
        <v>136</v>
      </c>
      <c r="B2" s="341" t="s">
        <v>300</v>
      </c>
      <c r="C2" s="207" t="s">
        <v>137</v>
      </c>
      <c r="D2" s="207" t="s">
        <v>159</v>
      </c>
      <c r="E2" s="206" t="s">
        <v>138</v>
      </c>
      <c r="F2" s="231" t="s">
        <v>146</v>
      </c>
      <c r="G2" s="231" t="s">
        <v>147</v>
      </c>
      <c r="H2" s="231" t="s">
        <v>148</v>
      </c>
      <c r="I2" s="293" t="s">
        <v>305</v>
      </c>
      <c r="J2" s="339" t="s">
        <v>299</v>
      </c>
      <c r="K2" s="260"/>
      <c r="L2" s="340" t="s">
        <v>299</v>
      </c>
      <c r="M2" s="345" t="s">
        <v>301</v>
      </c>
      <c r="N2" s="345" t="s">
        <v>302</v>
      </c>
    </row>
    <row r="3" spans="1:14" x14ac:dyDescent="0.2">
      <c r="A3" s="209">
        <v>10</v>
      </c>
      <c r="B3" s="342" t="s">
        <v>301</v>
      </c>
      <c r="C3" s="210" t="s">
        <v>229</v>
      </c>
      <c r="D3" s="209" t="s">
        <v>155</v>
      </c>
      <c r="E3" s="210">
        <v>912100</v>
      </c>
      <c r="F3" s="211">
        <v>7.6499999999999999E-2</v>
      </c>
      <c r="G3" s="211">
        <v>0.22889999999999999</v>
      </c>
      <c r="H3" s="251"/>
      <c r="I3" s="232">
        <v>7019</v>
      </c>
      <c r="J3" s="269" t="s">
        <v>198</v>
      </c>
      <c r="K3" s="248"/>
      <c r="L3" s="273" t="s">
        <v>198</v>
      </c>
      <c r="M3" s="347" t="s">
        <v>304</v>
      </c>
      <c r="N3" s="348" t="s">
        <v>304</v>
      </c>
    </row>
    <row r="4" spans="1:14" x14ac:dyDescent="0.2">
      <c r="A4" s="212">
        <v>10</v>
      </c>
      <c r="B4" s="342" t="s">
        <v>301</v>
      </c>
      <c r="C4" s="213" t="s">
        <v>230</v>
      </c>
      <c r="D4" s="209" t="s">
        <v>156</v>
      </c>
      <c r="E4" s="210">
        <v>912100</v>
      </c>
      <c r="F4" s="214">
        <v>7.6499999999999999E-2</v>
      </c>
      <c r="G4" s="249"/>
      <c r="H4" s="250"/>
      <c r="I4" s="257"/>
      <c r="J4" s="270" t="s">
        <v>198</v>
      </c>
      <c r="K4" s="248"/>
      <c r="L4" s="275" t="s">
        <v>198</v>
      </c>
      <c r="M4" s="349" t="s">
        <v>304</v>
      </c>
      <c r="N4" s="350" t="s">
        <v>304</v>
      </c>
    </row>
    <row r="5" spans="1:14" x14ac:dyDescent="0.2">
      <c r="A5" s="209">
        <v>10</v>
      </c>
      <c r="B5" s="342" t="s">
        <v>301</v>
      </c>
      <c r="C5" s="358" t="s">
        <v>310</v>
      </c>
      <c r="D5" s="209" t="s">
        <v>155</v>
      </c>
      <c r="E5" s="210">
        <v>912090</v>
      </c>
      <c r="F5" s="214">
        <v>7.6499999999999999E-2</v>
      </c>
      <c r="G5" s="211">
        <v>0.27889999999999998</v>
      </c>
      <c r="H5" s="250"/>
      <c r="I5" s="257"/>
      <c r="J5" s="270"/>
      <c r="K5" s="248"/>
      <c r="L5" s="275"/>
      <c r="M5" s="349"/>
      <c r="N5" s="350"/>
    </row>
    <row r="6" spans="1:14" x14ac:dyDescent="0.2">
      <c r="A6" s="212">
        <v>15</v>
      </c>
      <c r="B6" s="343" t="s">
        <v>302</v>
      </c>
      <c r="C6" s="213" t="s">
        <v>231</v>
      </c>
      <c r="D6" s="253"/>
      <c r="E6" s="213">
        <v>915900</v>
      </c>
      <c r="F6" s="215">
        <v>7.6499999999999999E-2</v>
      </c>
      <c r="G6" s="249"/>
      <c r="H6" s="250"/>
      <c r="I6" s="257"/>
      <c r="J6" s="271" t="s">
        <v>200</v>
      </c>
      <c r="K6" s="248"/>
      <c r="L6" s="275" t="s">
        <v>198</v>
      </c>
      <c r="M6" s="349" t="s">
        <v>304</v>
      </c>
      <c r="N6" s="350" t="s">
        <v>304</v>
      </c>
    </row>
    <row r="7" spans="1:14" x14ac:dyDescent="0.2">
      <c r="A7" s="212">
        <v>18</v>
      </c>
      <c r="B7" s="343" t="s">
        <v>302</v>
      </c>
      <c r="C7" s="213" t="s">
        <v>232</v>
      </c>
      <c r="D7" s="253"/>
      <c r="E7" s="213">
        <v>915900</v>
      </c>
      <c r="F7" s="215">
        <v>7.6499999999999999E-2</v>
      </c>
      <c r="G7" s="249"/>
      <c r="H7" s="250"/>
      <c r="I7" s="257"/>
      <c r="J7" s="271" t="s">
        <v>200</v>
      </c>
      <c r="K7" s="248"/>
      <c r="L7" s="275" t="s">
        <v>198</v>
      </c>
      <c r="M7" s="349" t="s">
        <v>304</v>
      </c>
      <c r="N7" s="350" t="s">
        <v>304</v>
      </c>
    </row>
    <row r="8" spans="1:14" x14ac:dyDescent="0.2">
      <c r="A8" s="212">
        <v>19</v>
      </c>
      <c r="B8" s="343" t="s">
        <v>302</v>
      </c>
      <c r="C8" s="213" t="s">
        <v>233</v>
      </c>
      <c r="D8" s="253"/>
      <c r="E8" s="213">
        <v>915900</v>
      </c>
      <c r="F8" s="215">
        <v>7.6499999999999999E-2</v>
      </c>
      <c r="G8" s="249"/>
      <c r="H8" s="250"/>
      <c r="I8" s="257"/>
      <c r="J8" s="271" t="s">
        <v>200</v>
      </c>
      <c r="K8" s="248"/>
      <c r="L8" s="275" t="s">
        <v>198</v>
      </c>
      <c r="M8" s="349" t="s">
        <v>304</v>
      </c>
      <c r="N8" s="350" t="s">
        <v>304</v>
      </c>
    </row>
    <row r="9" spans="1:14" x14ac:dyDescent="0.2">
      <c r="A9" s="212">
        <v>20</v>
      </c>
      <c r="B9" s="342" t="s">
        <v>301</v>
      </c>
      <c r="C9" s="213" t="s">
        <v>234</v>
      </c>
      <c r="D9" s="209" t="s">
        <v>155</v>
      </c>
      <c r="E9" s="213">
        <v>911100</v>
      </c>
      <c r="F9" s="215">
        <v>7.6499999999999999E-2</v>
      </c>
      <c r="G9" s="249"/>
      <c r="H9" s="215">
        <v>0.13220000000000001</v>
      </c>
      <c r="I9" s="232">
        <v>7019</v>
      </c>
      <c r="J9" s="270" t="s">
        <v>198</v>
      </c>
      <c r="K9" s="248"/>
      <c r="L9" s="275" t="s">
        <v>198</v>
      </c>
      <c r="M9" s="349" t="s">
        <v>304</v>
      </c>
      <c r="N9" s="350" t="s">
        <v>304</v>
      </c>
    </row>
    <row r="10" spans="1:14" x14ac:dyDescent="0.2">
      <c r="A10" s="212">
        <v>20</v>
      </c>
      <c r="B10" s="342" t="s">
        <v>301</v>
      </c>
      <c r="C10" s="213" t="s">
        <v>235</v>
      </c>
      <c r="D10" s="209" t="s">
        <v>156</v>
      </c>
      <c r="E10" s="213">
        <v>911100</v>
      </c>
      <c r="F10" s="215">
        <v>7.6499999999999999E-2</v>
      </c>
      <c r="G10" s="249"/>
      <c r="H10" s="249"/>
      <c r="I10" s="257"/>
      <c r="J10" s="270" t="s">
        <v>198</v>
      </c>
      <c r="K10" s="248"/>
      <c r="L10" s="275" t="s">
        <v>198</v>
      </c>
      <c r="M10" s="349" t="s">
        <v>304</v>
      </c>
      <c r="N10" s="350" t="s">
        <v>304</v>
      </c>
    </row>
    <row r="11" spans="1:14" x14ac:dyDescent="0.2">
      <c r="A11" s="212">
        <v>30</v>
      </c>
      <c r="B11" s="342" t="s">
        <v>301</v>
      </c>
      <c r="C11" s="213" t="s">
        <v>236</v>
      </c>
      <c r="D11" s="212">
        <v>1</v>
      </c>
      <c r="E11" s="213">
        <v>913100</v>
      </c>
      <c r="F11" s="215">
        <v>7.6499999999999999E-2</v>
      </c>
      <c r="G11" s="249"/>
      <c r="H11" s="215">
        <v>0.13220000000000001</v>
      </c>
      <c r="I11" s="232">
        <v>7019</v>
      </c>
      <c r="J11" s="270" t="s">
        <v>198</v>
      </c>
      <c r="K11" s="248"/>
      <c r="L11" s="275" t="s">
        <v>198</v>
      </c>
      <c r="M11" s="349" t="s">
        <v>304</v>
      </c>
      <c r="N11" s="350" t="s">
        <v>304</v>
      </c>
    </row>
    <row r="12" spans="1:14" x14ac:dyDescent="0.2">
      <c r="A12" s="212">
        <v>32</v>
      </c>
      <c r="B12" s="342" t="s">
        <v>301</v>
      </c>
      <c r="C12" s="213" t="s">
        <v>237</v>
      </c>
      <c r="D12" s="212">
        <v>1</v>
      </c>
      <c r="E12" s="213">
        <v>913100</v>
      </c>
      <c r="F12" s="215">
        <v>7.6499999999999999E-2</v>
      </c>
      <c r="G12" s="250"/>
      <c r="H12" s="215">
        <v>0.13220000000000001</v>
      </c>
      <c r="I12" s="232">
        <v>7019</v>
      </c>
      <c r="J12" s="270" t="s">
        <v>198</v>
      </c>
      <c r="K12" s="248"/>
      <c r="L12" s="275" t="s">
        <v>198</v>
      </c>
      <c r="M12" s="349" t="s">
        <v>304</v>
      </c>
      <c r="N12" s="350" t="s">
        <v>304</v>
      </c>
    </row>
    <row r="13" spans="1:14" x14ac:dyDescent="0.2">
      <c r="A13" s="212">
        <v>36</v>
      </c>
      <c r="B13" s="342" t="s">
        <v>301</v>
      </c>
      <c r="C13" s="213" t="s">
        <v>238</v>
      </c>
      <c r="D13" s="212">
        <v>1</v>
      </c>
      <c r="E13" s="213">
        <v>913100</v>
      </c>
      <c r="F13" s="215">
        <v>7.6499999999999999E-2</v>
      </c>
      <c r="G13" s="250"/>
      <c r="H13" s="215">
        <v>0.13220000000000001</v>
      </c>
      <c r="I13" s="232">
        <v>7019</v>
      </c>
      <c r="J13" s="270" t="s">
        <v>198</v>
      </c>
      <c r="K13" s="248"/>
      <c r="L13" s="275" t="s">
        <v>198</v>
      </c>
      <c r="M13" s="349" t="s">
        <v>304</v>
      </c>
      <c r="N13" s="350" t="s">
        <v>304</v>
      </c>
    </row>
    <row r="14" spans="1:14" x14ac:dyDescent="0.2">
      <c r="A14" s="212">
        <v>40</v>
      </c>
      <c r="B14" s="343" t="s">
        <v>302</v>
      </c>
      <c r="C14" s="213" t="s">
        <v>239</v>
      </c>
      <c r="D14" s="264"/>
      <c r="E14" s="213">
        <v>911200</v>
      </c>
      <c r="F14" s="214">
        <v>7.6499999999999999E-2</v>
      </c>
      <c r="G14" s="249"/>
      <c r="H14" s="255"/>
      <c r="I14" s="257" t="s">
        <v>218</v>
      </c>
      <c r="J14" s="271" t="s">
        <v>200</v>
      </c>
      <c r="K14" s="248"/>
      <c r="L14" s="275" t="s">
        <v>198</v>
      </c>
      <c r="M14" s="351"/>
      <c r="N14" s="350" t="s">
        <v>304</v>
      </c>
    </row>
    <row r="15" spans="1:14" x14ac:dyDescent="0.2">
      <c r="A15" s="212">
        <v>50</v>
      </c>
      <c r="B15" s="343" t="s">
        <v>302</v>
      </c>
      <c r="C15" s="213" t="s">
        <v>240</v>
      </c>
      <c r="D15" s="264"/>
      <c r="E15" s="213">
        <v>911200</v>
      </c>
      <c r="F15" s="214">
        <v>7.6499999999999999E-2</v>
      </c>
      <c r="G15" s="252"/>
      <c r="H15" s="255"/>
      <c r="I15" s="256"/>
      <c r="J15" s="271" t="s">
        <v>200</v>
      </c>
      <c r="K15" s="248"/>
      <c r="L15" s="275" t="s">
        <v>198</v>
      </c>
      <c r="M15" s="351"/>
      <c r="N15" s="350" t="s">
        <v>304</v>
      </c>
    </row>
    <row r="16" spans="1:14" x14ac:dyDescent="0.2">
      <c r="A16" s="212">
        <v>45</v>
      </c>
      <c r="B16" s="343" t="s">
        <v>302</v>
      </c>
      <c r="C16" s="213" t="s">
        <v>241</v>
      </c>
      <c r="D16" s="264"/>
      <c r="E16" s="213">
        <v>911300</v>
      </c>
      <c r="F16" s="215">
        <v>7.6499999999999999E-2</v>
      </c>
      <c r="G16" s="252"/>
      <c r="H16" s="255"/>
      <c r="I16" s="256"/>
      <c r="J16" s="271" t="s">
        <v>200</v>
      </c>
      <c r="K16" s="248"/>
      <c r="L16" s="275" t="s">
        <v>198</v>
      </c>
      <c r="M16" s="351"/>
      <c r="N16" s="350" t="s">
        <v>304</v>
      </c>
    </row>
    <row r="17" spans="1:14" x14ac:dyDescent="0.2">
      <c r="A17" s="212">
        <v>45</v>
      </c>
      <c r="B17" s="343" t="s">
        <v>302</v>
      </c>
      <c r="C17" s="213" t="s">
        <v>242</v>
      </c>
      <c r="D17" s="264"/>
      <c r="E17" s="213">
        <v>913300</v>
      </c>
      <c r="F17" s="215">
        <v>7.6499999999999999E-2</v>
      </c>
      <c r="G17" s="252"/>
      <c r="H17" s="255"/>
      <c r="I17" s="256"/>
      <c r="J17" s="271" t="s">
        <v>200</v>
      </c>
      <c r="K17" s="248"/>
      <c r="L17" s="275" t="s">
        <v>198</v>
      </c>
      <c r="M17" s="351"/>
      <c r="N17" s="350" t="s">
        <v>304</v>
      </c>
    </row>
    <row r="18" spans="1:14" x14ac:dyDescent="0.2">
      <c r="A18" s="212">
        <v>50</v>
      </c>
      <c r="B18" s="343" t="s">
        <v>302</v>
      </c>
      <c r="C18" s="213" t="s">
        <v>243</v>
      </c>
      <c r="D18" s="264"/>
      <c r="E18" s="213">
        <v>913200</v>
      </c>
      <c r="F18" s="215">
        <v>7.6499999999999999E-2</v>
      </c>
      <c r="G18" s="252"/>
      <c r="H18" s="255"/>
      <c r="I18" s="256"/>
      <c r="J18" s="271" t="s">
        <v>200</v>
      </c>
      <c r="K18" s="248"/>
      <c r="L18" s="275" t="s">
        <v>198</v>
      </c>
      <c r="M18" s="351"/>
      <c r="N18" s="350" t="s">
        <v>304</v>
      </c>
    </row>
    <row r="19" spans="1:14" x14ac:dyDescent="0.2">
      <c r="A19" s="212">
        <v>60</v>
      </c>
      <c r="B19" s="343" t="s">
        <v>302</v>
      </c>
      <c r="C19" s="213" t="s">
        <v>161</v>
      </c>
      <c r="D19" s="213" t="s">
        <v>160</v>
      </c>
      <c r="E19" s="213">
        <v>913250</v>
      </c>
      <c r="F19" s="214" t="s">
        <v>174</v>
      </c>
      <c r="G19" s="253"/>
      <c r="H19" s="250"/>
      <c r="I19" s="257"/>
      <c r="J19" s="271" t="s">
        <v>200</v>
      </c>
      <c r="K19" s="261"/>
      <c r="L19" s="249" t="s">
        <v>200</v>
      </c>
      <c r="M19" s="351"/>
      <c r="N19" s="350" t="s">
        <v>304</v>
      </c>
    </row>
    <row r="20" spans="1:14" x14ac:dyDescent="0.2">
      <c r="A20" s="212">
        <v>60</v>
      </c>
      <c r="B20" s="343" t="s">
        <v>302</v>
      </c>
      <c r="C20" s="213" t="s">
        <v>162</v>
      </c>
      <c r="D20" s="213" t="s">
        <v>160</v>
      </c>
      <c r="E20" s="213">
        <v>911250</v>
      </c>
      <c r="F20" s="214" t="s">
        <v>174</v>
      </c>
      <c r="G20" s="253"/>
      <c r="H20" s="250"/>
      <c r="I20" s="257"/>
      <c r="J20" s="271" t="s">
        <v>200</v>
      </c>
      <c r="K20" s="261"/>
      <c r="L20" s="249" t="s">
        <v>200</v>
      </c>
      <c r="M20" s="351"/>
      <c r="N20" s="350" t="s">
        <v>304</v>
      </c>
    </row>
    <row r="21" spans="1:14" x14ac:dyDescent="0.2">
      <c r="A21" s="212">
        <v>60</v>
      </c>
      <c r="B21" s="343" t="s">
        <v>302</v>
      </c>
      <c r="C21" s="213" t="s">
        <v>163</v>
      </c>
      <c r="D21" s="213" t="s">
        <v>160</v>
      </c>
      <c r="E21" s="213">
        <v>911260</v>
      </c>
      <c r="F21" s="214" t="s">
        <v>174</v>
      </c>
      <c r="G21" s="253"/>
      <c r="H21" s="250"/>
      <c r="I21" s="257"/>
      <c r="J21" s="271" t="s">
        <v>200</v>
      </c>
      <c r="K21" s="261"/>
      <c r="L21" s="249" t="s">
        <v>200</v>
      </c>
      <c r="M21" s="351"/>
      <c r="N21" s="350" t="s">
        <v>304</v>
      </c>
    </row>
    <row r="22" spans="1:14" x14ac:dyDescent="0.2">
      <c r="A22" s="212">
        <v>70</v>
      </c>
      <c r="B22" s="343" t="s">
        <v>302</v>
      </c>
      <c r="C22" s="213" t="s">
        <v>164</v>
      </c>
      <c r="D22" s="213" t="s">
        <v>165</v>
      </c>
      <c r="E22" s="213">
        <v>915020</v>
      </c>
      <c r="F22" s="228" t="s">
        <v>174</v>
      </c>
      <c r="G22" s="250"/>
      <c r="H22" s="250"/>
      <c r="I22" s="258"/>
      <c r="J22" s="271" t="s">
        <v>200</v>
      </c>
      <c r="K22" s="262"/>
      <c r="L22" s="249" t="s">
        <v>200</v>
      </c>
      <c r="M22" s="349" t="s">
        <v>304</v>
      </c>
      <c r="N22" s="350" t="s">
        <v>304</v>
      </c>
    </row>
    <row r="23" spans="1:14" x14ac:dyDescent="0.2">
      <c r="A23" s="212">
        <v>72</v>
      </c>
      <c r="B23" s="343" t="s">
        <v>302</v>
      </c>
      <c r="C23" s="213" t="s">
        <v>150</v>
      </c>
      <c r="D23" s="213" t="s">
        <v>165</v>
      </c>
      <c r="E23" s="213">
        <v>915020</v>
      </c>
      <c r="F23" s="228" t="s">
        <v>174</v>
      </c>
      <c r="G23" s="250"/>
      <c r="H23" s="250"/>
      <c r="I23" s="258"/>
      <c r="J23" s="271" t="s">
        <v>200</v>
      </c>
      <c r="K23" s="262"/>
      <c r="L23" s="249" t="s">
        <v>200</v>
      </c>
      <c r="M23" s="349" t="s">
        <v>304</v>
      </c>
      <c r="N23" s="350" t="s">
        <v>304</v>
      </c>
    </row>
    <row r="24" spans="1:14" x14ac:dyDescent="0.2">
      <c r="A24" s="212">
        <v>75</v>
      </c>
      <c r="B24" s="343" t="s">
        <v>302</v>
      </c>
      <c r="C24" s="290" t="s">
        <v>249</v>
      </c>
      <c r="D24" s="213" t="s">
        <v>165</v>
      </c>
      <c r="E24" s="213">
        <v>915030</v>
      </c>
      <c r="F24" s="228" t="s">
        <v>174</v>
      </c>
      <c r="G24" s="250"/>
      <c r="H24" s="250"/>
      <c r="I24" s="258"/>
      <c r="J24" s="271" t="s">
        <v>200</v>
      </c>
      <c r="K24" s="262"/>
      <c r="L24" s="249" t="s">
        <v>200</v>
      </c>
      <c r="M24" s="349" t="s">
        <v>304</v>
      </c>
      <c r="N24" s="350" t="s">
        <v>304</v>
      </c>
    </row>
    <row r="25" spans="1:14" x14ac:dyDescent="0.2">
      <c r="A25" s="212" t="s">
        <v>172</v>
      </c>
      <c r="B25" s="343" t="s">
        <v>302</v>
      </c>
      <c r="C25" s="213" t="s">
        <v>173</v>
      </c>
      <c r="D25" s="213" t="s">
        <v>170</v>
      </c>
      <c r="E25" s="227" t="s">
        <v>171</v>
      </c>
      <c r="F25" s="230" t="s">
        <v>174</v>
      </c>
      <c r="G25" s="254"/>
      <c r="H25" s="254"/>
      <c r="I25" s="259"/>
      <c r="J25" s="271" t="s">
        <v>200</v>
      </c>
      <c r="K25" s="262"/>
      <c r="L25" s="249" t="s">
        <v>200</v>
      </c>
      <c r="M25" s="352" t="s">
        <v>304</v>
      </c>
      <c r="N25" s="353" t="s">
        <v>304</v>
      </c>
    </row>
    <row r="26" spans="1:14" x14ac:dyDescent="0.2">
      <c r="I26" s="208"/>
      <c r="J26" s="208"/>
      <c r="K26" s="208"/>
    </row>
    <row r="27" spans="1:14" x14ac:dyDescent="0.2">
      <c r="A27" s="226" t="s">
        <v>167</v>
      </c>
      <c r="B27" s="226"/>
      <c r="C27" s="204" t="s">
        <v>244</v>
      </c>
      <c r="I27" s="208"/>
      <c r="J27" s="208"/>
      <c r="K27" s="208"/>
    </row>
    <row r="28" spans="1:14" x14ac:dyDescent="0.2">
      <c r="A28" s="226" t="s">
        <v>168</v>
      </c>
      <c r="B28" s="226"/>
      <c r="C28" s="204" t="s">
        <v>169</v>
      </c>
      <c r="I28" s="208"/>
      <c r="J28" s="208"/>
      <c r="K28" s="208"/>
    </row>
    <row r="31" spans="1:14" ht="12.75" x14ac:dyDescent="0.2">
      <c r="C31" s="285"/>
    </row>
    <row r="32" spans="1:14" ht="12.75" x14ac:dyDescent="0.2">
      <c r="C32" s="115"/>
    </row>
    <row r="33" spans="3:3" ht="12.75" x14ac:dyDescent="0.2">
      <c r="C33" s="285"/>
    </row>
    <row r="34" spans="3:3" ht="12.75" x14ac:dyDescent="0.2">
      <c r="C34" s="115"/>
    </row>
    <row r="35" spans="3:3" ht="12.75" x14ac:dyDescent="0.2">
      <c r="C35" s="285"/>
    </row>
    <row r="36" spans="3:3" ht="12.75" x14ac:dyDescent="0.2">
      <c r="C36" s="115"/>
    </row>
    <row r="37" spans="3:3" ht="12.75" x14ac:dyDescent="0.2">
      <c r="C37" s="285"/>
    </row>
    <row r="38" spans="3:3" ht="12.75" x14ac:dyDescent="0.2">
      <c r="C38" s="115"/>
    </row>
    <row r="39" spans="3:3" ht="12.75" x14ac:dyDescent="0.2">
      <c r="C39" s="285"/>
    </row>
  </sheetData>
  <mergeCells count="2">
    <mergeCell ref="F1:I1"/>
    <mergeCell ref="M1:N1"/>
  </mergeCells>
  <pageMargins left="0.7" right="0.7" top="0.75" bottom="0.75" header="0.3" footer="0.3"/>
  <pageSetup scale="85" orientation="landscape" r:id="rId1"/>
  <headerFooter>
    <oddFooter>&amp;L&amp;Z&amp;F&amp;RPage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12</vt:i4>
      </vt:variant>
    </vt:vector>
  </HeadingPairs>
  <TitlesOfParts>
    <vt:vector size="41" baseType="lpstr">
      <vt:lpstr>FY 16-17 GF Fringes</vt:lpstr>
      <vt:lpstr> FY 16-17 GF Calculator </vt:lpstr>
      <vt:lpstr>FY 16-17 Non GF Calculator </vt:lpstr>
      <vt:lpstr>FY 15-16 GF Fringes</vt:lpstr>
      <vt:lpstr> FY 15-16 GF Calculator</vt:lpstr>
      <vt:lpstr>FY 15-16 Non GF fringes</vt:lpstr>
      <vt:lpstr>FY 15-16 Non GF Calculator</vt:lpstr>
      <vt:lpstr>FY 17-18 GF Fringes</vt:lpstr>
      <vt:lpstr>FY 21-22 Fringes</vt:lpstr>
      <vt:lpstr> FY 20-21 GF Calculator </vt:lpstr>
      <vt:lpstr>FY 20-21 Non GF Calculator  </vt:lpstr>
      <vt:lpstr>HB 226</vt:lpstr>
      <vt:lpstr> FY 21-22 GF Calculator </vt:lpstr>
      <vt:lpstr>FY 21-22 Non GF Calculator</vt:lpstr>
      <vt:lpstr>FY 22-23 Fringes</vt:lpstr>
      <vt:lpstr> FY 22-23 GF Calculator</vt:lpstr>
      <vt:lpstr>FY 22-23 Non GF Calculator</vt:lpstr>
      <vt:lpstr>Pay periods</vt:lpstr>
      <vt:lpstr>Fringe history</vt:lpstr>
      <vt:lpstr>FY 14-15 (Non General Funds)</vt:lpstr>
      <vt:lpstr> FY 14-15 (General Funds)</vt:lpstr>
      <vt:lpstr> FY 13-14 (General Funds)</vt:lpstr>
      <vt:lpstr>FY 13-14 (Non General Funds</vt:lpstr>
      <vt:lpstr> FY 12-13 (General Funds) </vt:lpstr>
      <vt:lpstr>FY 12-13 (Non General Funds)</vt:lpstr>
      <vt:lpstr>Salary calc 11-12</vt:lpstr>
      <vt:lpstr>Salary calc 10-11</vt:lpstr>
      <vt:lpstr>Salary calc 09-10</vt:lpstr>
      <vt:lpstr>Salary calc 08-09</vt:lpstr>
      <vt:lpstr>' FY 14-15 (General Funds)'!Print_Area</vt:lpstr>
      <vt:lpstr>' FY 15-16 GF Calculator'!Print_Area</vt:lpstr>
      <vt:lpstr>' FY 16-17 GF Calculator '!Print_Area</vt:lpstr>
      <vt:lpstr>' FY 20-21 GF Calculator '!Print_Area</vt:lpstr>
      <vt:lpstr>' FY 21-22 GF Calculator '!Print_Area</vt:lpstr>
      <vt:lpstr>' FY 22-23 GF Calculator'!Print_Area</vt:lpstr>
      <vt:lpstr>'Fringe history'!Print_Area</vt:lpstr>
      <vt:lpstr>'FY 15-16 GF Fringes'!Print_Area</vt:lpstr>
      <vt:lpstr>'FY 16-17 GF Fringes'!Print_Area</vt:lpstr>
      <vt:lpstr>'FY 17-18 GF Fringes'!Print_Area</vt:lpstr>
      <vt:lpstr>'FY 21-22 Fringes'!Print_Area</vt:lpstr>
      <vt:lpstr>'FY 22-23 Fringes'!Print_Area</vt:lpstr>
    </vt:vector>
  </TitlesOfParts>
  <Company>UNC Charlotte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hongvu</dc:creator>
  <cp:lastModifiedBy>Carrie Smith</cp:lastModifiedBy>
  <cp:lastPrinted>2019-04-23T12:48:24Z</cp:lastPrinted>
  <dcterms:created xsi:type="dcterms:W3CDTF">2007-11-05T19:40:11Z</dcterms:created>
  <dcterms:modified xsi:type="dcterms:W3CDTF">2022-09-12T14:53:24Z</dcterms:modified>
</cp:coreProperties>
</file>