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comments10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9.xml" ContentType="application/vnd.openxmlformats-officedocument.drawing+xml"/>
  <Override PartName="/xl/comments13.xml" ContentType="application/vnd.openxmlformats-officedocument.spreadsheetml.comments+xml"/>
  <Override PartName="/xl/drawings/drawing10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POSCTL\PBM Fringe Calculator\FY24\"/>
    </mc:Choice>
  </mc:AlternateContent>
  <xr:revisionPtr revIDLastSave="0" documentId="8_{5050E7B0-C209-48EE-A28E-894BF0E17921}" xr6:coauthVersionLast="47" xr6:coauthVersionMax="47" xr10:uidLastSave="{00000000-0000-0000-0000-000000000000}"/>
  <bookViews>
    <workbookView xWindow="38400" yWindow="225" windowWidth="28800" windowHeight="11235" firstSheet="14" activeTab="16" xr2:uid="{5EB4ED0C-A1A4-41EE-9F70-AC71A15CB892}"/>
  </bookViews>
  <sheets>
    <sheet name="FY 16-17 GF Fringes" sheetId="21" state="hidden" r:id="rId1"/>
    <sheet name=" FY 16-17 GF Calculator " sheetId="19" state="hidden" r:id="rId2"/>
    <sheet name="FY 16-17 Non GF Calculator " sheetId="20" state="hidden" r:id="rId3"/>
    <sheet name="FY 15-16 GF Fringes" sheetId="15" state="hidden" r:id="rId4"/>
    <sheet name=" FY 15-16 GF Calculator" sheetId="16" state="hidden" r:id="rId5"/>
    <sheet name="FY 15-16 Non GF fringes" sheetId="18" state="hidden" r:id="rId6"/>
    <sheet name="FY 15-16 Non GF Calculator" sheetId="17" state="hidden" r:id="rId7"/>
    <sheet name="FY 17-18 GF Fringes" sheetId="22" state="hidden" r:id="rId8"/>
    <sheet name="FY 21-22 Fringes" sheetId="25" state="hidden" r:id="rId9"/>
    <sheet name=" FY 20-21 GF Calculator " sheetId="23" state="hidden" r:id="rId10"/>
    <sheet name="FY 20-21 Non GF Calculator  " sheetId="24" state="hidden" r:id="rId11"/>
    <sheet name="HB 226" sheetId="26" state="hidden" r:id="rId12"/>
    <sheet name=" FY 21-22 GF Calculator " sheetId="28" state="hidden" r:id="rId13"/>
    <sheet name="FY 21-22 Non GF Calculator" sheetId="29" state="hidden" r:id="rId14"/>
    <sheet name="FY23-24 Fringes" sheetId="30" r:id="rId15"/>
    <sheet name="Split Funded Cal" sheetId="37" r:id="rId16"/>
    <sheet name=" FY23-24 GF Calculator" sheetId="31" r:id="rId17"/>
    <sheet name="FY23-24 Non GF Calculator" sheetId="32" r:id="rId18"/>
    <sheet name="FY23-24 Temp Emp Calculator" sheetId="33" r:id="rId19"/>
    <sheet name="Pay periods" sheetId="3" r:id="rId20"/>
    <sheet name="Fringe history" sheetId="27" r:id="rId21"/>
    <sheet name="FY 22-23 Fringes" sheetId="34" state="hidden" r:id="rId22"/>
    <sheet name=" FY 22-23 GF Calculator" sheetId="35" state="hidden" r:id="rId23"/>
    <sheet name="FY 22-23 Non GF Calculator" sheetId="36" state="hidden" r:id="rId24"/>
    <sheet name="FY 14-15 (Non General Funds)" sheetId="14" state="hidden" r:id="rId25"/>
    <sheet name=" FY 14-15 (General Funds)" sheetId="13" state="hidden" r:id="rId26"/>
    <sheet name=" FY 13-14 (General Funds)" sheetId="9" state="hidden" r:id="rId27"/>
    <sheet name="FY 13-14 (Non General Funds" sheetId="12" state="hidden" r:id="rId28"/>
    <sheet name=" FY 12-13 (General Funds) " sheetId="11" state="hidden" r:id="rId29"/>
    <sheet name="FY 12-13 (Non General Funds)" sheetId="10" state="hidden" r:id="rId30"/>
    <sheet name="Salary calc 11-12" sheetId="8" state="hidden" r:id="rId31"/>
    <sheet name="Salary calc 10-11" sheetId="7" state="hidden" r:id="rId32"/>
    <sheet name="Salary calc 09-10" sheetId="5" state="hidden" r:id="rId33"/>
    <sheet name="Salary calc 08-09" sheetId="4" state="hidden" r:id="rId34"/>
  </sheets>
  <externalReferences>
    <externalReference r:id="rId35"/>
    <externalReference r:id="rId36"/>
  </externalReferences>
  <definedNames>
    <definedName name="_xlnm.Print_Area" localSheetId="25">' FY 14-15 (General Funds)'!$A$15:$C$26</definedName>
    <definedName name="_xlnm.Print_Area" localSheetId="4">' FY 15-16 GF Calculator'!$A$15:$C$26</definedName>
    <definedName name="_xlnm.Print_Area" localSheetId="1">' FY 16-17 GF Calculator '!$A$1:$H$38</definedName>
    <definedName name="_xlnm.Print_Area" localSheetId="9">' FY 20-21 GF Calculator '!$A$1:$H$38</definedName>
    <definedName name="_xlnm.Print_Area" localSheetId="12">' FY 21-22 GF Calculator '!$A$1:$H$38</definedName>
    <definedName name="_xlnm.Print_Area" localSheetId="22">' FY 22-23 GF Calculator'!$A$1:$H$38</definedName>
    <definedName name="_xlnm.Print_Area" localSheetId="16">' FY23-24 GF Calculator'!$A$1:$H$38</definedName>
    <definedName name="_xlnm.Print_Area" localSheetId="20">'Fringe history'!$A$1:$V$28</definedName>
    <definedName name="_xlnm.Print_Area" localSheetId="3">'FY 15-16 GF Fringes'!$A$1:$K$32</definedName>
    <definedName name="_xlnm.Print_Area" localSheetId="0">'FY 16-17 GF Fringes'!$A$1:$K$32</definedName>
    <definedName name="_xlnm.Print_Area" localSheetId="7">'FY 17-18 GF Fringes'!$A$1:$L$35</definedName>
    <definedName name="_xlnm.Print_Area" localSheetId="8">'FY 21-22 Fringes'!$A$1:$N$28</definedName>
    <definedName name="_xlnm.Print_Area" localSheetId="21">'FY 22-23 Fringes'!$A$1:$N$28</definedName>
    <definedName name="_xlnm.Print_Area" localSheetId="14">'FY23-24 Fringes'!$A$1:$P$25</definedName>
    <definedName name="_xlnm.Print_Area" localSheetId="18">'FY23-24 Temp Emp Calculator'!$A$3:$K$18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37" l="1"/>
  <c r="B18" i="37"/>
  <c r="B17" i="37"/>
  <c r="C20" i="37"/>
  <c r="B12" i="37"/>
  <c r="C11" i="37" s="1"/>
  <c r="A30" i="36"/>
  <c r="C23" i="36"/>
  <c r="C22" i="36"/>
  <c r="G8" i="36" s="1"/>
  <c r="C21" i="36"/>
  <c r="F8" i="36" s="1"/>
  <c r="C20" i="36"/>
  <c r="B28" i="36" s="1"/>
  <c r="A17" i="36"/>
  <c r="C14" i="36"/>
  <c r="B14" i="36"/>
  <c r="A12" i="36"/>
  <c r="E8" i="36" s="1"/>
  <c r="G10" i="36"/>
  <c r="F10" i="36"/>
  <c r="G9" i="36"/>
  <c r="F9" i="36"/>
  <c r="C7" i="36"/>
  <c r="C8" i="36" s="1"/>
  <c r="C10" i="36" s="1"/>
  <c r="B7" i="36"/>
  <c r="B8" i="36" s="1"/>
  <c r="A7" i="36"/>
  <c r="H31" i="35"/>
  <c r="G31" i="35"/>
  <c r="F30" i="35"/>
  <c r="F29" i="35"/>
  <c r="B26" i="35"/>
  <c r="H25" i="35"/>
  <c r="H26" i="35" s="1"/>
  <c r="H28" i="35" s="1"/>
  <c r="H29" i="35" s="1"/>
  <c r="G25" i="35"/>
  <c r="G26" i="35" s="1"/>
  <c r="G28" i="35" s="1"/>
  <c r="B25" i="35"/>
  <c r="B24" i="35"/>
  <c r="H20" i="35"/>
  <c r="G20" i="35"/>
  <c r="H19" i="35"/>
  <c r="H21" i="35" s="1"/>
  <c r="G19" i="35"/>
  <c r="G21" i="35" s="1"/>
  <c r="H18" i="35"/>
  <c r="G18" i="35"/>
  <c r="F18" i="35"/>
  <c r="C12" i="35"/>
  <c r="B12" i="35"/>
  <c r="H8" i="35"/>
  <c r="G8" i="35"/>
  <c r="H7" i="35"/>
  <c r="H10" i="35" s="1"/>
  <c r="G7" i="35"/>
  <c r="F7" i="35"/>
  <c r="C7" i="35"/>
  <c r="C9" i="35" s="1"/>
  <c r="H6" i="35"/>
  <c r="G6" i="35"/>
  <c r="F6" i="35"/>
  <c r="C6" i="35"/>
  <c r="B6" i="35"/>
  <c r="B7" i="35" s="1"/>
  <c r="B9" i="35" s="1"/>
  <c r="B10" i="36" l="1"/>
  <c r="G7" i="36"/>
  <c r="G12" i="36" s="1"/>
  <c r="G10" i="35"/>
  <c r="C10" i="37"/>
  <c r="C9" i="37"/>
  <c r="B13" i="36"/>
  <c r="B12" i="36"/>
  <c r="B11" i="36"/>
  <c r="C13" i="36"/>
  <c r="C12" i="36"/>
  <c r="C11" i="36"/>
  <c r="C10" i="35"/>
  <c r="C11" i="35"/>
  <c r="G30" i="35"/>
  <c r="G29" i="35"/>
  <c r="B11" i="35"/>
  <c r="F7" i="36"/>
  <c r="F12" i="36" s="1"/>
  <c r="H30" i="35"/>
  <c r="H32" i="35" s="1"/>
  <c r="B10" i="35"/>
  <c r="B13" i="35" s="1"/>
  <c r="B27" i="36"/>
  <c r="C15" i="36" l="1"/>
  <c r="B15" i="36"/>
  <c r="G32" i="35"/>
  <c r="C13" i="35"/>
  <c r="C12" i="37"/>
  <c r="O9" i="33" l="1"/>
  <c r="N9" i="33"/>
  <c r="O8" i="33" l="1"/>
  <c r="O11" i="33" s="1"/>
  <c r="N8" i="33"/>
  <c r="N11" i="33" s="1"/>
  <c r="I21" i="32" l="1"/>
  <c r="I9" i="32"/>
  <c r="E9" i="32"/>
  <c r="I8" i="32"/>
  <c r="C24" i="32"/>
  <c r="G19" i="31"/>
  <c r="AC30" i="27"/>
  <c r="AC36" i="27"/>
  <c r="AC35" i="27"/>
  <c r="AC38" i="27" s="1"/>
  <c r="AC29" i="27"/>
  <c r="AC23" i="27"/>
  <c r="AC12" i="27"/>
  <c r="C8" i="27"/>
  <c r="AC10" i="27"/>
  <c r="AC8" i="27"/>
  <c r="AC32" i="27" l="1"/>
  <c r="K9" i="32"/>
  <c r="J9" i="32"/>
  <c r="K10" i="32" l="1"/>
  <c r="K22" i="32"/>
  <c r="K15" i="32"/>
  <c r="K16" i="32" s="1"/>
  <c r="J22" i="32"/>
  <c r="J15" i="32"/>
  <c r="J16" i="32" s="1"/>
  <c r="J10" i="32"/>
  <c r="I20" i="32"/>
  <c r="C20" i="32" l="1"/>
  <c r="K7" i="32" l="1"/>
  <c r="J7" i="32"/>
  <c r="AB35" i="27"/>
  <c r="AA35" i="27"/>
  <c r="Z35" i="27"/>
  <c r="Y35" i="27"/>
  <c r="AB36" i="27"/>
  <c r="AB38" i="27" s="1"/>
  <c r="AA36" i="27"/>
  <c r="AA38" i="27" s="1"/>
  <c r="Z36" i="27"/>
  <c r="Z38" i="27" s="1"/>
  <c r="AB30" i="27"/>
  <c r="AA30" i="27"/>
  <c r="AA32" i="27" s="1"/>
  <c r="Z30" i="27"/>
  <c r="Y30" i="27"/>
  <c r="AB29" i="27"/>
  <c r="AA29" i="27"/>
  <c r="Z29" i="27"/>
  <c r="X30" i="27"/>
  <c r="X29" i="27"/>
  <c r="X32" i="27" s="1"/>
  <c r="V25" i="27"/>
  <c r="W25" i="27"/>
  <c r="X25" i="27"/>
  <c r="Y25" i="27"/>
  <c r="Z25" i="27"/>
  <c r="AA25" i="27"/>
  <c r="AB25" i="27"/>
  <c r="U25" i="27"/>
  <c r="AA23" i="27"/>
  <c r="AB23" i="27"/>
  <c r="AA12" i="27"/>
  <c r="AB12" i="27"/>
  <c r="AA10" i="27"/>
  <c r="AB10" i="27"/>
  <c r="AB8" i="27"/>
  <c r="AA8" i="27"/>
  <c r="Z8" i="27"/>
  <c r="W23" i="27"/>
  <c r="Y23" i="27"/>
  <c r="Z32" i="27" l="1"/>
  <c r="AB32" i="27"/>
  <c r="B26" i="31"/>
  <c r="B25" i="31"/>
  <c r="B24" i="31"/>
  <c r="A30" i="32"/>
  <c r="C23" i="32"/>
  <c r="C22" i="32"/>
  <c r="B28" i="32" s="1"/>
  <c r="C21" i="32"/>
  <c r="A17" i="32"/>
  <c r="C14" i="32"/>
  <c r="B14" i="32"/>
  <c r="A12" i="32"/>
  <c r="E8" i="32" s="1"/>
  <c r="G10" i="32"/>
  <c r="F10" i="32"/>
  <c r="G9" i="32"/>
  <c r="F9" i="32"/>
  <c r="G7" i="32"/>
  <c r="F7" i="32"/>
  <c r="C7" i="32"/>
  <c r="C8" i="32" s="1"/>
  <c r="C10" i="32" s="1"/>
  <c r="B7" i="32"/>
  <c r="B8" i="32" s="1"/>
  <c r="A7" i="32"/>
  <c r="H31" i="31"/>
  <c r="G31" i="31"/>
  <c r="F30" i="31"/>
  <c r="F29" i="31"/>
  <c r="H25" i="31"/>
  <c r="H26" i="31" s="1"/>
  <c r="H28" i="31" s="1"/>
  <c r="G25" i="31"/>
  <c r="G26" i="31" s="1"/>
  <c r="H20" i="31"/>
  <c r="G20" i="31"/>
  <c r="H19" i="31"/>
  <c r="H18" i="31"/>
  <c r="G18" i="31"/>
  <c r="F18" i="31"/>
  <c r="C12" i="31"/>
  <c r="B12" i="31"/>
  <c r="H8" i="31"/>
  <c r="G8" i="31"/>
  <c r="H7" i="31"/>
  <c r="G7" i="31"/>
  <c r="F7" i="31"/>
  <c r="H6" i="31"/>
  <c r="H10" i="31" s="1"/>
  <c r="G6" i="31"/>
  <c r="F6" i="31"/>
  <c r="C6" i="31"/>
  <c r="C7" i="31" s="1"/>
  <c r="C9" i="31" s="1"/>
  <c r="B6" i="31"/>
  <c r="B7" i="31" s="1"/>
  <c r="B9" i="31" s="1"/>
  <c r="F8" i="32" l="1"/>
  <c r="B27" i="32"/>
  <c r="G28" i="31"/>
  <c r="G30" i="31" s="1"/>
  <c r="G21" i="31"/>
  <c r="K18" i="32"/>
  <c r="J18" i="32"/>
  <c r="K8" i="32"/>
  <c r="K11" i="32" s="1"/>
  <c r="J8" i="32"/>
  <c r="J11" i="32" s="1"/>
  <c r="H21" i="31"/>
  <c r="B10" i="32"/>
  <c r="B13" i="32" s="1"/>
  <c r="G10" i="31"/>
  <c r="F12" i="32"/>
  <c r="G8" i="32"/>
  <c r="G12" i="32" s="1"/>
  <c r="C10" i="31"/>
  <c r="C11" i="31"/>
  <c r="B10" i="31"/>
  <c r="B11" i="31"/>
  <c r="H30" i="31"/>
  <c r="H29" i="31"/>
  <c r="H32" i="31" s="1"/>
  <c r="C11" i="32"/>
  <c r="C12" i="32"/>
  <c r="C13" i="32"/>
  <c r="A17" i="29"/>
  <c r="G29" i="31" l="1"/>
  <c r="G32" i="31" s="1"/>
  <c r="C13" i="31"/>
  <c r="J21" i="32"/>
  <c r="J20" i="32"/>
  <c r="K19" i="32"/>
  <c r="K21" i="32"/>
  <c r="J19" i="32"/>
  <c r="J23" i="32" s="1"/>
  <c r="K20" i="32"/>
  <c r="B11" i="32"/>
  <c r="B12" i="32"/>
  <c r="C15" i="32"/>
  <c r="B13" i="31"/>
  <c r="B15" i="32" l="1"/>
  <c r="K23" i="32"/>
  <c r="G7" i="28"/>
  <c r="F7" i="28"/>
  <c r="B26" i="28"/>
  <c r="B25" i="28"/>
  <c r="A30" i="29" l="1"/>
  <c r="C23" i="29"/>
  <c r="C22" i="29"/>
  <c r="C21" i="29"/>
  <c r="A12" i="29"/>
  <c r="E8" i="29" s="1"/>
  <c r="H7" i="28"/>
  <c r="A7" i="29"/>
  <c r="B24" i="28"/>
  <c r="C20" i="29"/>
  <c r="B28" i="29" s="1"/>
  <c r="C14" i="29"/>
  <c r="B14" i="29"/>
  <c r="G10" i="29"/>
  <c r="F10" i="29"/>
  <c r="G9" i="29"/>
  <c r="F9" i="29"/>
  <c r="C7" i="29"/>
  <c r="C8" i="29" s="1"/>
  <c r="B7" i="29"/>
  <c r="B8" i="29" s="1"/>
  <c r="H31" i="28"/>
  <c r="F30" i="28"/>
  <c r="F29" i="28"/>
  <c r="C6" i="28"/>
  <c r="C7" i="28" s="1"/>
  <c r="C9" i="28" s="1"/>
  <c r="H18" i="28"/>
  <c r="G18" i="28"/>
  <c r="F18" i="28"/>
  <c r="H6" i="28"/>
  <c r="G6" i="28"/>
  <c r="F6" i="28"/>
  <c r="B6" i="28"/>
  <c r="B7" i="28" s="1"/>
  <c r="B9" i="28" s="1"/>
  <c r="B27" i="29" l="1"/>
  <c r="G7" i="29"/>
  <c r="F7" i="29"/>
  <c r="F8" i="29"/>
  <c r="C10" i="29"/>
  <c r="G8" i="29"/>
  <c r="G12" i="29" s="1"/>
  <c r="B10" i="29"/>
  <c r="F12" i="29"/>
  <c r="B11" i="28"/>
  <c r="B10" i="28"/>
  <c r="H19" i="28"/>
  <c r="G19" i="28"/>
  <c r="C10" i="28"/>
  <c r="C11" i="28"/>
  <c r="B12" i="28"/>
  <c r="H20" i="28"/>
  <c r="G20" i="28"/>
  <c r="C12" i="28"/>
  <c r="G8" i="28"/>
  <c r="H8" i="28"/>
  <c r="H10" i="28" s="1"/>
  <c r="G25" i="28"/>
  <c r="G26" i="28" s="1"/>
  <c r="G28" i="28" s="1"/>
  <c r="H25" i="28"/>
  <c r="H26" i="28" s="1"/>
  <c r="H28" i="28" s="1"/>
  <c r="G31" i="28"/>
  <c r="A30" i="24"/>
  <c r="C11" i="29" l="1"/>
  <c r="C13" i="29"/>
  <c r="G10" i="28"/>
  <c r="B12" i="29"/>
  <c r="B13" i="29"/>
  <c r="B11" i="29"/>
  <c r="C12" i="29"/>
  <c r="B13" i="28"/>
  <c r="H21" i="28"/>
  <c r="C13" i="28"/>
  <c r="G21" i="28"/>
  <c r="H30" i="28"/>
  <c r="H29" i="28"/>
  <c r="G30" i="28"/>
  <c r="G29" i="28"/>
  <c r="H32" i="28" l="1"/>
  <c r="C15" i="29"/>
  <c r="G32" i="28"/>
  <c r="B15" i="29"/>
  <c r="G9" i="24"/>
  <c r="F9" i="24"/>
  <c r="A17" i="24" l="1"/>
  <c r="Z23" i="27"/>
  <c r="Z12" i="27"/>
  <c r="Z10" i="27"/>
  <c r="A7" i="24"/>
  <c r="G18" i="23" l="1"/>
  <c r="C24" i="24" l="1"/>
  <c r="C22" i="23"/>
  <c r="Y29" i="27" l="1"/>
  <c r="Y36" i="27"/>
  <c r="Y10" i="27"/>
  <c r="Y8" i="27"/>
  <c r="C20" i="23"/>
  <c r="C19" i="23"/>
  <c r="G7" i="23" l="1"/>
  <c r="B24" i="23"/>
  <c r="H7" i="23"/>
  <c r="B25" i="23"/>
  <c r="Y38" i="27"/>
  <c r="Y32" i="27"/>
  <c r="C22" i="24"/>
  <c r="C21" i="24"/>
  <c r="C21" i="23"/>
  <c r="X36" i="27"/>
  <c r="W36" i="27"/>
  <c r="V36" i="27"/>
  <c r="U36" i="27"/>
  <c r="T36" i="27"/>
  <c r="S36" i="27"/>
  <c r="R36" i="27"/>
  <c r="Q36" i="27"/>
  <c r="P36" i="27"/>
  <c r="O36" i="27"/>
  <c r="N36" i="27"/>
  <c r="X35" i="27"/>
  <c r="W35" i="27"/>
  <c r="U35" i="27"/>
  <c r="T35" i="27"/>
  <c r="S35" i="27"/>
  <c r="R35" i="27"/>
  <c r="Q35" i="27"/>
  <c r="Q38" i="27" s="1"/>
  <c r="P35" i="27"/>
  <c r="O35" i="27"/>
  <c r="N35" i="27"/>
  <c r="W30" i="27"/>
  <c r="V30" i="27"/>
  <c r="U30" i="27"/>
  <c r="T30" i="27"/>
  <c r="S30" i="27"/>
  <c r="R30" i="27"/>
  <c r="Q30" i="27"/>
  <c r="P30" i="27"/>
  <c r="O30" i="27"/>
  <c r="N30" i="27"/>
  <c r="W29" i="27"/>
  <c r="U29" i="27"/>
  <c r="T29" i="27"/>
  <c r="S29" i="27"/>
  <c r="R29" i="27"/>
  <c r="Q29" i="27"/>
  <c r="P29" i="27"/>
  <c r="O29" i="27"/>
  <c r="N29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V21" i="27"/>
  <c r="T12" i="27"/>
  <c r="S12" i="27"/>
  <c r="R12" i="27"/>
  <c r="Q12" i="27"/>
  <c r="P12" i="27"/>
  <c r="O12" i="27"/>
  <c r="N12" i="27"/>
  <c r="M12" i="27"/>
  <c r="J12" i="27"/>
  <c r="I12" i="27"/>
  <c r="H12" i="27"/>
  <c r="G12" i="27"/>
  <c r="D12" i="27"/>
  <c r="C12" i="27"/>
  <c r="X11" i="27"/>
  <c r="W11" i="27"/>
  <c r="V11" i="27"/>
  <c r="V12" i="27" s="1"/>
  <c r="U11" i="27"/>
  <c r="U12" i="27" s="1"/>
  <c r="K11" i="27"/>
  <c r="L12" i="27" s="1"/>
  <c r="E11" i="27"/>
  <c r="F12" i="27" s="1"/>
  <c r="X10" i="27"/>
  <c r="AD10" i="27" s="1"/>
  <c r="W10" i="27"/>
  <c r="V10" i="27"/>
  <c r="U10" i="27"/>
  <c r="T10" i="27"/>
  <c r="S10" i="27"/>
  <c r="R10" i="27"/>
  <c r="Q10" i="27"/>
  <c r="P10" i="27"/>
  <c r="O10" i="27"/>
  <c r="N10" i="27"/>
  <c r="M10" i="27"/>
  <c r="J10" i="27"/>
  <c r="I10" i="27"/>
  <c r="H10" i="27"/>
  <c r="G10" i="27"/>
  <c r="D10" i="27"/>
  <c r="C10" i="27"/>
  <c r="K9" i="27"/>
  <c r="L10" i="27" s="1"/>
  <c r="E9" i="27"/>
  <c r="F10" i="27" s="1"/>
  <c r="X8" i="27"/>
  <c r="AD8" i="27" s="1"/>
  <c r="W8" i="27"/>
  <c r="V8" i="27"/>
  <c r="U8" i="27"/>
  <c r="T8" i="27"/>
  <c r="S8" i="27"/>
  <c r="R8" i="27"/>
  <c r="Q8" i="27"/>
  <c r="P8" i="27"/>
  <c r="O8" i="27"/>
  <c r="N8" i="27"/>
  <c r="M8" i="27"/>
  <c r="J8" i="27"/>
  <c r="I8" i="27"/>
  <c r="H8" i="27"/>
  <c r="G8" i="27"/>
  <c r="D8" i="27"/>
  <c r="K7" i="27"/>
  <c r="L8" i="27" s="1"/>
  <c r="E7" i="27"/>
  <c r="E8" i="27" s="1"/>
  <c r="W38" i="27" l="1"/>
  <c r="S32" i="27"/>
  <c r="F8" i="27"/>
  <c r="V35" i="27"/>
  <c r="V38" i="27" s="1"/>
  <c r="X23" i="27"/>
  <c r="AD23" i="27" s="1"/>
  <c r="P38" i="27"/>
  <c r="T32" i="27"/>
  <c r="N32" i="27"/>
  <c r="S38" i="27"/>
  <c r="G19" i="23"/>
  <c r="H19" i="23"/>
  <c r="B26" i="23"/>
  <c r="X38" i="27"/>
  <c r="W12" i="27"/>
  <c r="X12" i="27"/>
  <c r="AD12" i="27" s="1"/>
  <c r="Y12" i="27"/>
  <c r="O32" i="27"/>
  <c r="R38" i="27"/>
  <c r="P32" i="27"/>
  <c r="W32" i="27"/>
  <c r="Q32" i="27"/>
  <c r="N38" i="27"/>
  <c r="T38" i="27"/>
  <c r="U32" i="27"/>
  <c r="R32" i="27"/>
  <c r="O38" i="27"/>
  <c r="U38" i="27"/>
  <c r="C23" i="24"/>
  <c r="K8" i="27"/>
  <c r="K10" i="27"/>
  <c r="K12" i="27"/>
  <c r="E10" i="27"/>
  <c r="E12" i="27"/>
  <c r="V23" i="27"/>
  <c r="V29" i="27"/>
  <c r="V32" i="27" s="1"/>
  <c r="F8" i="24"/>
  <c r="G8" i="24" l="1"/>
  <c r="A12" i="24"/>
  <c r="E8" i="24" s="1"/>
  <c r="C20" i="24"/>
  <c r="C14" i="24"/>
  <c r="B14" i="24"/>
  <c r="G10" i="24"/>
  <c r="F10" i="24"/>
  <c r="C7" i="24"/>
  <c r="C8" i="24" s="1"/>
  <c r="B7" i="24"/>
  <c r="B8" i="24" s="1"/>
  <c r="C12" i="23"/>
  <c r="C6" i="23"/>
  <c r="C7" i="23" s="1"/>
  <c r="H31" i="23"/>
  <c r="G31" i="23"/>
  <c r="F30" i="23"/>
  <c r="F29" i="23"/>
  <c r="H25" i="23"/>
  <c r="H26" i="23" s="1"/>
  <c r="G25" i="23"/>
  <c r="G26" i="23" s="1"/>
  <c r="G28" i="23" s="1"/>
  <c r="H20" i="23"/>
  <c r="G20" i="23"/>
  <c r="G21" i="23" s="1"/>
  <c r="H18" i="23"/>
  <c r="F18" i="23"/>
  <c r="B12" i="23"/>
  <c r="H8" i="23"/>
  <c r="G8" i="23"/>
  <c r="F7" i="23"/>
  <c r="H6" i="23"/>
  <c r="G6" i="23"/>
  <c r="F6" i="23"/>
  <c r="B6" i="23"/>
  <c r="B7" i="23" s="1"/>
  <c r="B9" i="23" s="1"/>
  <c r="B28" i="24" l="1"/>
  <c r="B27" i="24"/>
  <c r="G29" i="23"/>
  <c r="G30" i="23"/>
  <c r="B10" i="24"/>
  <c r="B11" i="24" s="1"/>
  <c r="H28" i="23"/>
  <c r="H30" i="23" s="1"/>
  <c r="H10" i="23"/>
  <c r="C10" i="24"/>
  <c r="C13" i="24" s="1"/>
  <c r="C9" i="23"/>
  <c r="C10" i="23" s="1"/>
  <c r="G7" i="24"/>
  <c r="F7" i="24"/>
  <c r="F12" i="24" s="1"/>
  <c r="H21" i="23"/>
  <c r="G10" i="23"/>
  <c r="B11" i="23"/>
  <c r="B10" i="23"/>
  <c r="C7" i="19"/>
  <c r="C9" i="19" s="1"/>
  <c r="C11" i="23" l="1"/>
  <c r="G32" i="23"/>
  <c r="H29" i="23"/>
  <c r="H32" i="23" s="1"/>
  <c r="B13" i="24"/>
  <c r="B12" i="24"/>
  <c r="G12" i="24"/>
  <c r="C11" i="24"/>
  <c r="C12" i="24"/>
  <c r="C13" i="23"/>
  <c r="B13" i="23"/>
  <c r="G7" i="19"/>
  <c r="F30" i="19"/>
  <c r="B15" i="24" l="1"/>
  <c r="C15" i="24"/>
  <c r="B25" i="19"/>
  <c r="A29" i="20" l="1"/>
  <c r="F9" i="20" l="1"/>
  <c r="E8" i="20"/>
  <c r="A12" i="20"/>
  <c r="C22" i="20"/>
  <c r="G8" i="20" s="1"/>
  <c r="C21" i="20"/>
  <c r="F8" i="20" s="1"/>
  <c r="C20" i="20"/>
  <c r="H19" i="19"/>
  <c r="G19" i="19"/>
  <c r="B24" i="19"/>
  <c r="B27" i="20" l="1"/>
  <c r="B26" i="20"/>
  <c r="C14" i="20"/>
  <c r="B14" i="20"/>
  <c r="G10" i="20"/>
  <c r="F10" i="20"/>
  <c r="G9" i="20"/>
  <c r="G7" i="20"/>
  <c r="F7" i="20"/>
  <c r="C7" i="20"/>
  <c r="C8" i="20" s="1"/>
  <c r="C10" i="20" s="1"/>
  <c r="B7" i="20"/>
  <c r="B8" i="20" s="1"/>
  <c r="B10" i="20" s="1"/>
  <c r="B6" i="19"/>
  <c r="B7" i="19" s="1"/>
  <c r="B9" i="19" s="1"/>
  <c r="F6" i="19"/>
  <c r="G6" i="19"/>
  <c r="H6" i="19"/>
  <c r="F7" i="19"/>
  <c r="H7" i="19"/>
  <c r="G8" i="19"/>
  <c r="H8" i="19"/>
  <c r="B12" i="19"/>
  <c r="F18" i="19"/>
  <c r="G18" i="19"/>
  <c r="H18" i="19"/>
  <c r="G20" i="19"/>
  <c r="H20" i="19"/>
  <c r="G25" i="19"/>
  <c r="G26" i="19" s="1"/>
  <c r="G28" i="19" s="1"/>
  <c r="H25" i="19"/>
  <c r="B26" i="19"/>
  <c r="H26" i="19"/>
  <c r="H28" i="19" s="1"/>
  <c r="H30" i="19" s="1"/>
  <c r="F29" i="19"/>
  <c r="G31" i="19"/>
  <c r="H31" i="19"/>
  <c r="G12" i="20" l="1"/>
  <c r="G14" i="20"/>
  <c r="F14" i="20"/>
  <c r="F12" i="20"/>
  <c r="G10" i="19"/>
  <c r="H21" i="19"/>
  <c r="G29" i="19"/>
  <c r="G30" i="19"/>
  <c r="G32" i="19" s="1"/>
  <c r="H10" i="19"/>
  <c r="G21" i="19"/>
  <c r="B11" i="20"/>
  <c r="B13" i="20"/>
  <c r="B12" i="20"/>
  <c r="C13" i="20"/>
  <c r="C12" i="20"/>
  <c r="C11" i="20"/>
  <c r="C10" i="19"/>
  <c r="B11" i="19"/>
  <c r="B10" i="19"/>
  <c r="H29" i="19"/>
  <c r="H32" i="19" s="1"/>
  <c r="M6" i="16"/>
  <c r="M5" i="16"/>
  <c r="M4" i="16"/>
  <c r="M7" i="16"/>
  <c r="A29" i="17"/>
  <c r="B26" i="17"/>
  <c r="C15" i="20" l="1"/>
  <c r="C13" i="19"/>
  <c r="B15" i="20"/>
  <c r="B13" i="19"/>
  <c r="H20" i="18"/>
  <c r="H19" i="18"/>
  <c r="H18" i="18"/>
  <c r="B26" i="13" l="1"/>
  <c r="G9" i="17"/>
  <c r="F9" i="17"/>
  <c r="G8" i="17"/>
  <c r="F8" i="17"/>
  <c r="H19" i="16"/>
  <c r="G19" i="16"/>
  <c r="C12" i="16"/>
  <c r="G6" i="16"/>
  <c r="B26" i="16"/>
  <c r="B25" i="16"/>
  <c r="B24" i="16"/>
  <c r="B27" i="17"/>
  <c r="C14" i="17"/>
  <c r="B14" i="17"/>
  <c r="G10" i="17"/>
  <c r="F10" i="17"/>
  <c r="G7" i="17"/>
  <c r="F7" i="17"/>
  <c r="C7" i="17"/>
  <c r="C8" i="17" s="1"/>
  <c r="C10" i="17" s="1"/>
  <c r="B7" i="17"/>
  <c r="B8" i="17" s="1"/>
  <c r="B10" i="17" s="1"/>
  <c r="H31" i="16"/>
  <c r="G31" i="16"/>
  <c r="F29" i="16"/>
  <c r="H25" i="16"/>
  <c r="H26" i="16" s="1"/>
  <c r="H28" i="16" s="1"/>
  <c r="G25" i="16"/>
  <c r="G26" i="16" s="1"/>
  <c r="G28" i="16" s="1"/>
  <c r="H20" i="16"/>
  <c r="G20" i="16"/>
  <c r="H18" i="16"/>
  <c r="G18" i="16"/>
  <c r="F18" i="16"/>
  <c r="B12" i="16"/>
  <c r="H8" i="16"/>
  <c r="G8" i="16"/>
  <c r="H7" i="16"/>
  <c r="G7" i="16"/>
  <c r="F7" i="16"/>
  <c r="H6" i="16"/>
  <c r="F6" i="16"/>
  <c r="C6" i="16"/>
  <c r="C7" i="16" s="1"/>
  <c r="C9" i="16" s="1"/>
  <c r="B6" i="16"/>
  <c r="B7" i="16" s="1"/>
  <c r="F12" i="17" l="1"/>
  <c r="F14" i="17"/>
  <c r="B9" i="16"/>
  <c r="B11" i="16" s="1"/>
  <c r="G14" i="17"/>
  <c r="G12" i="17"/>
  <c r="G21" i="16"/>
  <c r="C11" i="16"/>
  <c r="H21" i="16"/>
  <c r="H10" i="16"/>
  <c r="G10" i="16"/>
  <c r="C13" i="17"/>
  <c r="C12" i="17"/>
  <c r="C11" i="17"/>
  <c r="B11" i="17"/>
  <c r="B13" i="17"/>
  <c r="B12" i="17"/>
  <c r="B15" i="17" s="1"/>
  <c r="G30" i="16"/>
  <c r="G29" i="16"/>
  <c r="H29" i="16"/>
  <c r="H30" i="16"/>
  <c r="C10" i="16"/>
  <c r="G8" i="14"/>
  <c r="F8" i="14"/>
  <c r="H19" i="13"/>
  <c r="G19" i="13"/>
  <c r="H7" i="13"/>
  <c r="G7" i="13"/>
  <c r="C13" i="16" l="1"/>
  <c r="B10" i="16"/>
  <c r="B13" i="16" s="1"/>
  <c r="C15" i="17"/>
  <c r="G32" i="16"/>
  <c r="H32" i="16"/>
  <c r="G9" i="14"/>
  <c r="F9" i="14"/>
  <c r="B26" i="14"/>
  <c r="B27" i="14"/>
  <c r="A12" i="14"/>
  <c r="F29" i="13"/>
  <c r="F18" i="13"/>
  <c r="F6" i="13"/>
  <c r="F7" i="13"/>
  <c r="B25" i="13"/>
  <c r="B24" i="13"/>
  <c r="C14" i="14"/>
  <c r="B14" i="14"/>
  <c r="G10" i="14"/>
  <c r="F10" i="14"/>
  <c r="G7" i="14"/>
  <c r="F7" i="14"/>
  <c r="C7" i="14"/>
  <c r="C8" i="14" s="1"/>
  <c r="C10" i="14" s="1"/>
  <c r="C13" i="14" s="1"/>
  <c r="B7" i="14"/>
  <c r="B8" i="14" s="1"/>
  <c r="H31" i="13"/>
  <c r="G31" i="13"/>
  <c r="H25" i="13"/>
  <c r="H26" i="13" s="1"/>
  <c r="G25" i="13"/>
  <c r="G26" i="13" s="1"/>
  <c r="G28" i="13" s="1"/>
  <c r="H20" i="13"/>
  <c r="G20" i="13"/>
  <c r="H18" i="13"/>
  <c r="G18" i="13"/>
  <c r="C12" i="13"/>
  <c r="B12" i="13"/>
  <c r="H8" i="13"/>
  <c r="G8" i="13"/>
  <c r="H6" i="13"/>
  <c r="G6" i="13"/>
  <c r="C6" i="13"/>
  <c r="C7" i="13" s="1"/>
  <c r="C9" i="13" s="1"/>
  <c r="B6" i="13"/>
  <c r="B7" i="13" s="1"/>
  <c r="B9" i="13" s="1"/>
  <c r="B11" i="13" s="1"/>
  <c r="G14" i="14" l="1"/>
  <c r="B10" i="14"/>
  <c r="B13" i="14" s="1"/>
  <c r="G30" i="13"/>
  <c r="G29" i="13"/>
  <c r="H28" i="13"/>
  <c r="H30" i="13" s="1"/>
  <c r="F14" i="14"/>
  <c r="G12" i="14"/>
  <c r="F12" i="14"/>
  <c r="B10" i="13"/>
  <c r="B13" i="13" s="1"/>
  <c r="H21" i="13"/>
  <c r="G10" i="13"/>
  <c r="H10" i="13"/>
  <c r="G21" i="13"/>
  <c r="C12" i="14"/>
  <c r="C11" i="14"/>
  <c r="B11" i="14"/>
  <c r="C10" i="13"/>
  <c r="C11" i="13"/>
  <c r="G9" i="12"/>
  <c r="F9" i="12"/>
  <c r="B27" i="12"/>
  <c r="B26" i="12"/>
  <c r="G8" i="12"/>
  <c r="F8" i="12"/>
  <c r="G7" i="12"/>
  <c r="F7" i="12"/>
  <c r="H19" i="9"/>
  <c r="G19" i="9"/>
  <c r="H18" i="9"/>
  <c r="G18" i="9"/>
  <c r="H7" i="9"/>
  <c r="G7" i="9"/>
  <c r="H6" i="9"/>
  <c r="G6" i="9"/>
  <c r="B26" i="9"/>
  <c r="B25" i="9"/>
  <c r="B24" i="9"/>
  <c r="G10" i="12"/>
  <c r="F10" i="12"/>
  <c r="C14" i="12"/>
  <c r="B14" i="12"/>
  <c r="C7" i="12"/>
  <c r="B7" i="12"/>
  <c r="G31" i="9"/>
  <c r="H31" i="9"/>
  <c r="H25" i="9"/>
  <c r="G25" i="9"/>
  <c r="G8" i="9"/>
  <c r="C12" i="9"/>
  <c r="B12" i="9"/>
  <c r="C6" i="9"/>
  <c r="B6" i="9"/>
  <c r="H29" i="13" l="1"/>
  <c r="B12" i="14"/>
  <c r="B15" i="14" s="1"/>
  <c r="C15" i="14"/>
  <c r="C13" i="13"/>
  <c r="H32" i="13"/>
  <c r="G32" i="13"/>
  <c r="G14" i="12"/>
  <c r="F12" i="12"/>
  <c r="F14" i="12"/>
  <c r="G12" i="12"/>
  <c r="H26" i="9"/>
  <c r="H28" i="9" s="1"/>
  <c r="G26" i="9"/>
  <c r="G28" i="9" s="1"/>
  <c r="C8" i="12"/>
  <c r="C10" i="12" s="1"/>
  <c r="C13" i="12" s="1"/>
  <c r="B8" i="12"/>
  <c r="B10" i="12" s="1"/>
  <c r="B13" i="12" s="1"/>
  <c r="H20" i="9"/>
  <c r="G20" i="9"/>
  <c r="G21" i="9" s="1"/>
  <c r="H8" i="9"/>
  <c r="B26" i="11"/>
  <c r="B25" i="11"/>
  <c r="G20" i="11"/>
  <c r="F20" i="11"/>
  <c r="G19" i="11"/>
  <c r="G22" i="11" s="1"/>
  <c r="F19" i="11"/>
  <c r="G7" i="11"/>
  <c r="F7" i="11"/>
  <c r="C7" i="11"/>
  <c r="C9" i="11" s="1"/>
  <c r="B7" i="11"/>
  <c r="B9" i="11" s="1"/>
  <c r="G6" i="11"/>
  <c r="F6" i="11"/>
  <c r="F10" i="11" s="1"/>
  <c r="G8" i="10"/>
  <c r="F8" i="10"/>
  <c r="C10" i="10"/>
  <c r="C13" i="10" s="1"/>
  <c r="B10" i="10"/>
  <c r="B13" i="10" s="1"/>
  <c r="C12" i="10"/>
  <c r="B27" i="10"/>
  <c r="B26" i="10"/>
  <c r="F7" i="10"/>
  <c r="G9" i="10"/>
  <c r="F9" i="10"/>
  <c r="G7" i="10"/>
  <c r="F14" i="10" l="1"/>
  <c r="B12" i="10"/>
  <c r="G10" i="11"/>
  <c r="G12" i="10"/>
  <c r="G30" i="9"/>
  <c r="G29" i="9"/>
  <c r="G32" i="9" s="1"/>
  <c r="C11" i="12"/>
  <c r="C12" i="12"/>
  <c r="F12" i="10"/>
  <c r="B11" i="12"/>
  <c r="B12" i="12"/>
  <c r="H29" i="9"/>
  <c r="H30" i="9"/>
  <c r="G14" i="10"/>
  <c r="F22" i="11"/>
  <c r="C11" i="11"/>
  <c r="C10" i="11"/>
  <c r="B11" i="11"/>
  <c r="B10" i="11"/>
  <c r="B13" i="11" s="1"/>
  <c r="C11" i="10"/>
  <c r="C15" i="10" s="1"/>
  <c r="B11" i="10"/>
  <c r="B15" i="10" s="1"/>
  <c r="H21" i="9"/>
  <c r="C7" i="9"/>
  <c r="C9" i="9" s="1"/>
  <c r="B7" i="9"/>
  <c r="B9" i="9" s="1"/>
  <c r="H10" i="9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" i="3"/>
  <c r="B26" i="8"/>
  <c r="B25" i="8"/>
  <c r="G7" i="8"/>
  <c r="F7" i="8"/>
  <c r="C7" i="8"/>
  <c r="C9" i="8" s="1"/>
  <c r="C11" i="8" s="1"/>
  <c r="B7" i="8"/>
  <c r="B9" i="8" s="1"/>
  <c r="G6" i="8"/>
  <c r="F6" i="8"/>
  <c r="G7" i="7"/>
  <c r="F7" i="7"/>
  <c r="B26" i="7"/>
  <c r="B25" i="7"/>
  <c r="C7" i="7"/>
  <c r="C9" i="7" s="1"/>
  <c r="C11" i="7" s="1"/>
  <c r="B7" i="7"/>
  <c r="B9" i="7" s="1"/>
  <c r="B11" i="7" s="1"/>
  <c r="G6" i="7"/>
  <c r="F6" i="7"/>
  <c r="F7" i="5"/>
  <c r="F6" i="5"/>
  <c r="G6" i="5"/>
  <c r="B7" i="5"/>
  <c r="B9" i="5" s="1"/>
  <c r="C7" i="5"/>
  <c r="G7" i="5"/>
  <c r="C9" i="5"/>
  <c r="C11" i="5" s="1"/>
  <c r="B25" i="5"/>
  <c r="B26" i="5"/>
  <c r="B7" i="4"/>
  <c r="B9" i="4"/>
  <c r="B10" i="4" s="1"/>
  <c r="F7" i="4"/>
  <c r="F6" i="4"/>
  <c r="F10" i="4" s="1"/>
  <c r="G6" i="4"/>
  <c r="C7" i="4"/>
  <c r="C9" i="4" s="1"/>
  <c r="G7" i="4"/>
  <c r="B25" i="4"/>
  <c r="B26" i="4"/>
  <c r="D27" i="3"/>
  <c r="C27" i="3"/>
  <c r="G25" i="3"/>
  <c r="E27" i="3"/>
  <c r="F27" i="3"/>
  <c r="J3" i="3"/>
  <c r="F10" i="7" l="1"/>
  <c r="H32" i="9"/>
  <c r="G10" i="5"/>
  <c r="G10" i="8"/>
  <c r="F10" i="5"/>
  <c r="G28" i="3"/>
  <c r="H28" i="3" s="1"/>
  <c r="G27" i="3"/>
  <c r="G29" i="3" s="1"/>
  <c r="B11" i="4"/>
  <c r="B13" i="4" s="1"/>
  <c r="G10" i="4"/>
  <c r="F10" i="8"/>
  <c r="B10" i="5"/>
  <c r="B11" i="5"/>
  <c r="C10" i="4"/>
  <c r="C11" i="4"/>
  <c r="B11" i="8"/>
  <c r="B10" i="8"/>
  <c r="C11" i="9"/>
  <c r="C10" i="9"/>
  <c r="C10" i="5"/>
  <c r="C13" i="5" s="1"/>
  <c r="B11" i="9"/>
  <c r="B10" i="9"/>
  <c r="B13" i="9" s="1"/>
  <c r="G10" i="7"/>
  <c r="C13" i="11"/>
  <c r="B15" i="12"/>
  <c r="C15" i="12"/>
  <c r="G10" i="9"/>
  <c r="C10" i="8"/>
  <c r="C10" i="7"/>
  <c r="C13" i="7" s="1"/>
  <c r="B10" i="7"/>
  <c r="B13" i="7" s="1"/>
  <c r="C13" i="9" l="1"/>
  <c r="B13" i="5"/>
  <c r="C13" i="4"/>
  <c r="C13" i="8"/>
  <c r="B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2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4" authorId="0" shapeId="0" xr:uid="{536D1A2E-20FC-4FE1-90E7-A8BEA66E17ED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Sherrie High</author>
  </authors>
  <commentList>
    <comment ref="L21" authorId="0" shapeId="0" xr:uid="{00000000-0006-0000-0D00-000001000000}">
      <text>
        <r>
          <rPr>
            <sz val="8"/>
            <color indexed="81"/>
            <rFont val="Tahoma"/>
            <family val="2"/>
          </rPr>
          <t>indemnity</t>
        </r>
      </text>
    </comment>
    <comment ref="L22" authorId="0" shapeId="0" xr:uid="{00000000-0006-0000-0D00-000002000000}">
      <text>
        <r>
          <rPr>
            <sz val="8"/>
            <color indexed="81"/>
            <rFont val="Tahoma"/>
            <family val="2"/>
          </rPr>
          <t>PPO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2" authorId="0" shapeId="0" xr:uid="{CA37C589-92FA-4B79-9952-0071E6B3D0D6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4" authorId="0" shapeId="0" xr:uid="{0A862F88-8051-4081-B6BF-B2C2562C12A4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2" authorId="0" shapeId="0" xr:uid="{00000000-0006-0000-0E00-000001000000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2" authorId="0" shapeId="0" xr:uid="{00000000-0006-0000-0F00-000001000000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2" authorId="0" shapeId="0" xr:uid="{00000000-0006-0000-1000-000001000000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2" authorId="0" shapeId="0" xr:uid="{00000000-0006-0000-1100-000001000000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</t>
        </r>
      </text>
    </comment>
    <comment ref="C24" authorId="0" shapeId="0" xr:uid="{00000000-0006-0000-1100-000002000000}">
      <text>
        <r>
          <rPr>
            <sz val="10"/>
            <color indexed="81"/>
            <rFont val="Tahoma"/>
            <family val="2"/>
          </rPr>
          <t>FY 13-14 Confirmed rate
Signed by UNCCharlotte dated 12/3/13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3" authorId="0" shapeId="0" xr:uid="{00000000-0006-0000-1200-000001000000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2" authorId="0" shapeId="0" xr:uid="{00000000-0006-0000-1300-000001000000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3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3" authorId="0" shapeId="0" xr:uid="{00000000-0006-0000-1400-000001000000}">
      <text>
        <r>
          <rPr>
            <b/>
            <sz val="10"/>
            <color indexed="81"/>
            <rFont val="Tahoma"/>
            <family val="2"/>
          </rPr>
          <t>hongvu:</t>
        </r>
        <r>
          <rPr>
            <sz val="10"/>
            <color indexed="81"/>
            <rFont val="Tahoma"/>
            <family val="2"/>
          </rPr>
          <t xml:space="preserve">
1)  Less than .75 FTE - no medical needed
2) Equal to or greater than .75 FTE - full medical needed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3" authorId="0" shapeId="0" xr:uid="{00000000-0006-0000-1500-000001000000}">
      <text>
        <r>
          <rPr>
            <b/>
            <sz val="10"/>
            <color indexed="81"/>
            <rFont val="Tahoma"/>
            <family val="2"/>
          </rPr>
          <t>hongvu:</t>
        </r>
        <r>
          <rPr>
            <sz val="10"/>
            <color indexed="81"/>
            <rFont val="Tahoma"/>
            <family val="2"/>
          </rPr>
          <t xml:space="preserve">
1)  Less than .75 FTE - no medical needed
2) Equal to or greater than .75 FTE - full medical needed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3" authorId="0" shapeId="0" xr:uid="{00000000-0006-0000-1600-000001000000}">
      <text>
        <r>
          <rPr>
            <b/>
            <sz val="10"/>
            <color indexed="81"/>
            <rFont val="Tahoma"/>
            <family val="2"/>
          </rPr>
          <t>hongvu:</t>
        </r>
        <r>
          <rPr>
            <sz val="10"/>
            <color indexed="81"/>
            <rFont val="Tahoma"/>
            <family val="2"/>
          </rPr>
          <t xml:space="preserve">
1)  Less than .75 FTE - no medical needed
2) Equal to or greater than .75 FTE - full medical needed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3" authorId="0" shapeId="0" xr:uid="{00000000-0006-0000-1700-000001000000}">
      <text>
        <r>
          <rPr>
            <b/>
            <sz val="10"/>
            <color indexed="81"/>
            <rFont val="Tahoma"/>
            <family val="2"/>
          </rPr>
          <t>hongvu:</t>
        </r>
        <r>
          <rPr>
            <sz val="10"/>
            <color indexed="81"/>
            <rFont val="Tahoma"/>
            <family val="2"/>
          </rPr>
          <t xml:space="preserve">
1)  Less than .75 FTE - no medical needed
2) Equal to or greater than .75 FTE - full medical needed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2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2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2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4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2" authorId="0" shapeId="0" xr:uid="{264681A8-2762-4E10-BBC8-97B17EAD165F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4" authorId="0" shapeId="0" xr:uid="{AEA3FCDC-A521-46EC-A180-C84AE5B160EB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2" authorId="0" shapeId="0" xr:uid="{1932BDBC-3D65-42DF-AE40-8B5F899D4391}">
      <text>
        <r>
          <rPr>
            <b/>
            <sz val="10"/>
            <color indexed="81"/>
            <rFont val="Tahoma"/>
            <family val="2"/>
          </rPr>
          <t>Budgeting for Medical:</t>
        </r>
        <r>
          <rPr>
            <sz val="10"/>
            <color indexed="81"/>
            <rFont val="Tahoma"/>
            <family val="2"/>
          </rPr>
          <t xml:space="preserve">
1) Less than .75 FTE - no medical needed
2) Equal to or greater than .75 FTE - full medical needed
</t>
        </r>
      </text>
    </comment>
  </commentList>
</comments>
</file>

<file path=xl/sharedStrings.xml><?xml version="1.0" encoding="utf-8"?>
<sst xmlns="http://schemas.openxmlformats.org/spreadsheetml/2006/main" count="2017" uniqueCount="404">
  <si>
    <t>Medical</t>
  </si>
  <si>
    <t>CATEGORIES</t>
  </si>
  <si>
    <t>ACCOUNT</t>
  </si>
  <si>
    <t>RATE</t>
  </si>
  <si>
    <t>FICA</t>
  </si>
  <si>
    <t>Law Officer's Retirement</t>
  </si>
  <si>
    <t>Medical Insurance</t>
  </si>
  <si>
    <t>Optional Retirement</t>
  </si>
  <si>
    <t>EPA Fringe total</t>
  </si>
  <si>
    <t>SPA Fringe Total</t>
  </si>
  <si>
    <t>SPA</t>
  </si>
  <si>
    <t>EPA</t>
  </si>
  <si>
    <t>Available Base</t>
  </si>
  <si>
    <t>Total Budget</t>
  </si>
  <si>
    <r>
      <t xml:space="preserve">FICA </t>
    </r>
    <r>
      <rPr>
        <sz val="10"/>
        <color indexed="17"/>
        <rFont val="Arial"/>
        <family val="2"/>
      </rPr>
      <t>(Salary X .0765)</t>
    </r>
  </si>
  <si>
    <r>
      <t>If you know the salary</t>
    </r>
    <r>
      <rPr>
        <sz val="10"/>
        <color indexed="10"/>
        <rFont val="Arial"/>
        <family val="2"/>
      </rPr>
      <t xml:space="preserve"> (enter amount here)</t>
    </r>
  </si>
  <si>
    <r>
      <t>If you have the total available Budget</t>
    </r>
    <r>
      <rPr>
        <sz val="10"/>
        <color indexed="10"/>
        <rFont val="Arial"/>
        <family val="2"/>
      </rPr>
      <t xml:space="preserve"> (enter amount here)</t>
    </r>
  </si>
  <si>
    <r>
      <t xml:space="preserve">Salary </t>
    </r>
    <r>
      <rPr>
        <sz val="10"/>
        <color indexed="17"/>
        <rFont val="Arial"/>
        <family val="2"/>
      </rPr>
      <t>(Available base divided by Fringe total)</t>
    </r>
  </si>
  <si>
    <r>
      <t xml:space="preserve">FICA </t>
    </r>
    <r>
      <rPr>
        <sz val="10"/>
        <color indexed="17"/>
        <rFont val="Arial"/>
        <family val="2"/>
      </rPr>
      <t>(Salary x .0765)</t>
    </r>
  </si>
  <si>
    <t>How much budget you'll need</t>
  </si>
  <si>
    <t>EXAMPLE 1</t>
  </si>
  <si>
    <t>EXAMPLE 2</t>
  </si>
  <si>
    <t xml:space="preserve">** </t>
  </si>
  <si>
    <t>Jan 15</t>
  </si>
  <si>
    <t>Jan 30</t>
  </si>
  <si>
    <t>Feb 15</t>
  </si>
  <si>
    <t>Feb 28</t>
  </si>
  <si>
    <t>Mar 15</t>
  </si>
  <si>
    <t>Mar 31</t>
  </si>
  <si>
    <t>Apr 15</t>
  </si>
  <si>
    <t>Apr 30</t>
  </si>
  <si>
    <t>May 15</t>
  </si>
  <si>
    <t>May 31</t>
  </si>
  <si>
    <t>June 15</t>
  </si>
  <si>
    <t>June 30</t>
  </si>
  <si>
    <t>July 15</t>
  </si>
  <si>
    <t>July 31</t>
  </si>
  <si>
    <t>Aug 15</t>
  </si>
  <si>
    <t>Aug 31</t>
  </si>
  <si>
    <t>Sept 15</t>
  </si>
  <si>
    <t>Sept 30</t>
  </si>
  <si>
    <t>Oct 15</t>
  </si>
  <si>
    <t>Oct 31</t>
  </si>
  <si>
    <t>Nov 15</t>
  </si>
  <si>
    <t>Nov 30</t>
  </si>
  <si>
    <t>Dec 15</t>
  </si>
  <si>
    <t>Dec 31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</si>
  <si>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</si>
  <si>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</si>
  <si>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</si>
  <si>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</si>
  <si>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</si>
  <si>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</si>
  <si>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</si>
  <si>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</si>
  <si>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</si>
  <si>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Grand Total</t>
  </si>
  <si>
    <t xml:space="preserve">State Retirement </t>
  </si>
  <si>
    <t>Annual Salary</t>
  </si>
  <si>
    <t>Payroll</t>
  </si>
  <si>
    <t>Pay Period</t>
  </si>
  <si>
    <t>TOTAL</t>
  </si>
  <si>
    <t>Per pay (24 total)</t>
  </si>
  <si>
    <t>SALARY AND FRINGE CALCULATION FOR FY 08-09</t>
  </si>
  <si>
    <r>
      <t xml:space="preserve">Retirement </t>
    </r>
    <r>
      <rPr>
        <sz val="10"/>
        <color indexed="17"/>
        <rFont val="Arial"/>
        <family val="2"/>
      </rPr>
      <t>(Salary x .0814 for SPA or .1146 for EPA)</t>
    </r>
  </si>
  <si>
    <t>FY 08-09 BENEFITS RATES</t>
  </si>
  <si>
    <t>Take out the Medical (Flat amount for FY 08-09)</t>
  </si>
  <si>
    <t>Updated 7/11/08</t>
  </si>
  <si>
    <t>SALARY AND FRINGE CALCULATION FOR FY 09-10</t>
  </si>
  <si>
    <t>FY 09-10 BENEFITS RATES</t>
  </si>
  <si>
    <t>Updated: 09/22/09</t>
  </si>
  <si>
    <t>Take out the Medical (Flat amount for FY 09-10)</t>
  </si>
  <si>
    <r>
      <t>If you have the total available Budget</t>
    </r>
    <r>
      <rPr>
        <sz val="9"/>
        <color indexed="10"/>
        <rFont val="Arial"/>
        <family val="2"/>
      </rPr>
      <t xml:space="preserve"> (enter amount here)</t>
    </r>
  </si>
  <si>
    <r>
      <t>If you know the salary</t>
    </r>
    <r>
      <rPr>
        <sz val="9"/>
        <color indexed="10"/>
        <rFont val="Arial"/>
        <family val="2"/>
      </rPr>
      <t xml:space="preserve"> (enter amount here)</t>
    </r>
  </si>
  <si>
    <r>
      <t xml:space="preserve">FICA </t>
    </r>
    <r>
      <rPr>
        <sz val="9"/>
        <color indexed="17"/>
        <rFont val="Arial"/>
        <family val="2"/>
      </rPr>
      <t>(Salary x .0765)</t>
    </r>
  </si>
  <si>
    <r>
      <t xml:space="preserve">Retirement </t>
    </r>
    <r>
      <rPr>
        <sz val="9"/>
        <color indexed="17"/>
        <rFont val="Arial"/>
        <family val="2"/>
      </rPr>
      <t>(Salary x .0875 for SPA or .1186 for EPA)</t>
    </r>
  </si>
  <si>
    <r>
      <t xml:space="preserve">Salary </t>
    </r>
    <r>
      <rPr>
        <sz val="9"/>
        <color indexed="17"/>
        <rFont val="Arial"/>
        <family val="2"/>
      </rPr>
      <t>(Available base divided by Fringe total)</t>
    </r>
  </si>
  <si>
    <r>
      <t xml:space="preserve">FICA </t>
    </r>
    <r>
      <rPr>
        <sz val="9"/>
        <color indexed="17"/>
        <rFont val="Arial"/>
        <family val="2"/>
      </rPr>
      <t>(Salary X .0765)</t>
    </r>
  </si>
  <si>
    <r>
      <t xml:space="preserve">Retirement </t>
    </r>
    <r>
      <rPr>
        <sz val="9"/>
        <color indexed="17"/>
        <rFont val="Arial"/>
        <family val="2"/>
      </rPr>
      <t>(Salary x .1051 for SPA or .1226for EPA)</t>
    </r>
  </si>
  <si>
    <t>FY 10-11 BENEFITS RATES</t>
  </si>
  <si>
    <t>SALARY AND FRINGE CALCULATIONS FOR FY 10-11</t>
  </si>
  <si>
    <t>Updated: 07/01/10</t>
  </si>
  <si>
    <r>
      <t xml:space="preserve">Retirement </t>
    </r>
    <r>
      <rPr>
        <sz val="9"/>
        <color indexed="17"/>
        <rFont val="Arial"/>
        <family val="2"/>
      </rPr>
      <t>(Salary x .1051 for SPA or .1226 for EPA)</t>
    </r>
  </si>
  <si>
    <r>
      <t xml:space="preserve">Take out the Medical </t>
    </r>
    <r>
      <rPr>
        <sz val="9"/>
        <color rgb="FF00B050"/>
        <rFont val="Arial"/>
        <family val="2"/>
      </rPr>
      <t>(Flat amount for FY 10-11)</t>
    </r>
  </si>
  <si>
    <t>SALARY AND FRINGE CALCULATIONS FOR FY 11-12</t>
  </si>
  <si>
    <r>
      <t xml:space="preserve">Take out the Medical </t>
    </r>
    <r>
      <rPr>
        <sz val="9"/>
        <color rgb="FF00B050"/>
        <rFont val="Arial"/>
        <family val="2"/>
      </rPr>
      <t>(Flat amount for FY 11-12)</t>
    </r>
  </si>
  <si>
    <t>Law Officer's Retirement (LEO)</t>
  </si>
  <si>
    <r>
      <t xml:space="preserve">Retirement </t>
    </r>
    <r>
      <rPr>
        <sz val="9"/>
        <color indexed="17"/>
        <rFont val="Arial"/>
        <family val="2"/>
      </rPr>
      <t>(Salary x .1312 for SPA or .1236 for EPA)</t>
    </r>
  </si>
  <si>
    <t>FY 11-12 BENEFITS RATES</t>
  </si>
  <si>
    <t>Updated: 06/21/11</t>
  </si>
  <si>
    <t>How much budget you'll need/have available</t>
  </si>
  <si>
    <r>
      <t xml:space="preserve">Take out the Medical </t>
    </r>
    <r>
      <rPr>
        <sz val="9"/>
        <color rgb="FF00B050"/>
        <rFont val="Arial"/>
        <family val="2"/>
      </rPr>
      <t>(Flat amount for FY 12-13)</t>
    </r>
  </si>
  <si>
    <t>FY 12-13 BENEFITS RATES</t>
  </si>
  <si>
    <t>EXAMPLE 3 Law Enforcement Officer (LEO)</t>
  </si>
  <si>
    <r>
      <t xml:space="preserve">FICA </t>
    </r>
    <r>
      <rPr>
        <sz val="9"/>
        <color rgb="FF0000FF"/>
        <rFont val="Arial"/>
        <family val="2"/>
      </rPr>
      <t>(Salary x .0765)</t>
    </r>
  </si>
  <si>
    <t>How much budget you'll need/have</t>
  </si>
  <si>
    <t>Claims Rate Fringe Benefits</t>
  </si>
  <si>
    <t>SPA Fringe Total w/o medical</t>
  </si>
  <si>
    <t>EPA Fringe total w/o medical</t>
  </si>
  <si>
    <t>Edits by Lou Harrell in yellow for estimating proposals</t>
  </si>
  <si>
    <r>
      <t xml:space="preserve">Take out the Medical </t>
    </r>
    <r>
      <rPr>
        <sz val="9"/>
        <color rgb="FF006600"/>
        <rFont val="Arial"/>
        <family val="2"/>
      </rPr>
      <t>(Flat amount for FY 12-13)</t>
    </r>
  </si>
  <si>
    <r>
      <t xml:space="preserve">Salary </t>
    </r>
    <r>
      <rPr>
        <sz val="9"/>
        <color rgb="FF006600"/>
        <rFont val="Arial"/>
        <family val="2"/>
      </rPr>
      <t>(Available base divided by Fringe total)</t>
    </r>
  </si>
  <si>
    <r>
      <t xml:space="preserve">FICA </t>
    </r>
    <r>
      <rPr>
        <sz val="9"/>
        <color rgb="FF006600"/>
        <rFont val="Arial"/>
        <family val="2"/>
      </rPr>
      <t>(Salary X .0765)</t>
    </r>
  </si>
  <si>
    <r>
      <t xml:space="preserve">SALARY AND FRINGE CALCULATIONS FOR FY 12-13 </t>
    </r>
    <r>
      <rPr>
        <b/>
        <sz val="14"/>
        <color rgb="FFC00000"/>
        <rFont val="Arial"/>
        <family val="2"/>
      </rPr>
      <t>(FOR NON-GENERAL FUNDS)</t>
    </r>
  </si>
  <si>
    <r>
      <t xml:space="preserve">Claims Rate Fringe Benefits </t>
    </r>
    <r>
      <rPr>
        <sz val="9"/>
        <color rgb="FF006600"/>
        <rFont val="Arial"/>
        <family val="2"/>
      </rPr>
      <t>(Salary x .0150 for both SPA &amp; EPA)</t>
    </r>
  </si>
  <si>
    <t>FRINGE RATE for PROPOSAL ESTIMATES</t>
  </si>
  <si>
    <r>
      <t xml:space="preserve">SALARY AND FRINGE CALCULATIONS FOR FY 12-13 </t>
    </r>
    <r>
      <rPr>
        <b/>
        <sz val="14"/>
        <color rgb="FF3301BF"/>
        <rFont val="Arial"/>
        <family val="2"/>
      </rPr>
      <t>(FOR GENERAL FUNDS)</t>
    </r>
  </si>
  <si>
    <t>Updated: 08/22/12</t>
  </si>
  <si>
    <r>
      <t xml:space="preserve">Retirement </t>
    </r>
    <r>
      <rPr>
        <sz val="9"/>
        <color indexed="17"/>
        <rFont val="Arial"/>
        <family val="2"/>
      </rPr>
      <t>(Salary x .1423 for SPA or .1258 for EPA)</t>
    </r>
  </si>
  <si>
    <r>
      <t xml:space="preserve">LEO Retirement </t>
    </r>
    <r>
      <rPr>
        <sz val="9"/>
        <color rgb="FF0000FF"/>
        <rFont val="Arial"/>
        <family val="2"/>
      </rPr>
      <t>(Salary x .1923)</t>
    </r>
  </si>
  <si>
    <t>Updated: 08/22/12 by Hong Vu</t>
  </si>
  <si>
    <r>
      <t xml:space="preserve">SALARY AND FRINGE CALCULATIONS FOR FY 13-14 </t>
    </r>
    <r>
      <rPr>
        <b/>
        <sz val="14"/>
        <color rgb="FF3301BF"/>
        <rFont val="Arial"/>
        <family val="2"/>
      </rPr>
      <t>(FOR GENERAL FUNDS)</t>
    </r>
  </si>
  <si>
    <r>
      <t xml:space="preserve">Take out the Medical </t>
    </r>
    <r>
      <rPr>
        <sz val="9"/>
        <color rgb="FF00B050"/>
        <rFont val="Arial"/>
        <family val="2"/>
      </rPr>
      <t>(Flat amount for FY 13-14)</t>
    </r>
  </si>
  <si>
    <r>
      <t xml:space="preserve">Retirement </t>
    </r>
    <r>
      <rPr>
        <sz val="9"/>
        <color indexed="17"/>
        <rFont val="Arial"/>
        <family val="2"/>
      </rPr>
      <t>(Salary x .1469 for SPA or .1268 for EPA)</t>
    </r>
  </si>
  <si>
    <r>
      <t xml:space="preserve">LEO Retirement </t>
    </r>
    <r>
      <rPr>
        <sz val="9"/>
        <color rgb="FF0000FF"/>
        <rFont val="Arial"/>
        <family val="2"/>
      </rPr>
      <t>(Salary x .1969)</t>
    </r>
  </si>
  <si>
    <t>FY 13-14 BENEFITS RATES</t>
  </si>
  <si>
    <r>
      <t xml:space="preserve">SALARY AND FRINGE CALCULATIONS FOR FY 13-14 </t>
    </r>
    <r>
      <rPr>
        <b/>
        <sz val="14"/>
        <color rgb="FFC00000"/>
        <rFont val="Arial"/>
        <family val="2"/>
      </rPr>
      <t>(FOR NON-GENERAL FUNDS)</t>
    </r>
  </si>
  <si>
    <r>
      <t xml:space="preserve">Take out the Medical </t>
    </r>
    <r>
      <rPr>
        <sz val="9"/>
        <color rgb="FF006600"/>
        <rFont val="Arial"/>
        <family val="2"/>
      </rPr>
      <t>(Flat amount for FY 13-14)</t>
    </r>
  </si>
  <si>
    <r>
      <t xml:space="preserve">LEO Retirement </t>
    </r>
    <r>
      <rPr>
        <sz val="9"/>
        <color indexed="17"/>
        <rFont val="Arial"/>
        <family val="2"/>
      </rPr>
      <t>(Salary x .1969 for both EPA &amp; SPA)</t>
    </r>
  </si>
  <si>
    <t>LEO Fringe Total</t>
  </si>
  <si>
    <t>EPA Fringe Total</t>
  </si>
  <si>
    <t>Claims Rate Fringe Benefits (For EPA/Faculty &amp; SPA Permanent)</t>
  </si>
  <si>
    <t>FY 12-13 BENEFITS RATES (PERMANENT EMPLOYEES)</t>
  </si>
  <si>
    <t>Updated: 07/29/13</t>
  </si>
  <si>
    <r>
      <t xml:space="preserve">Claims Rate Fringe Benefits </t>
    </r>
    <r>
      <rPr>
        <sz val="9"/>
        <color rgb="FF006600"/>
        <rFont val="Arial"/>
        <family val="2"/>
      </rPr>
      <t>(Salary x .0129 for both SPA &amp; EPA)</t>
    </r>
  </si>
  <si>
    <t>Updated: 12/9/13</t>
  </si>
  <si>
    <r>
      <t xml:space="preserve">SALARY AND FRINGE CALCULATIONS FOR FY 14-15 </t>
    </r>
    <r>
      <rPr>
        <b/>
        <sz val="14"/>
        <color rgb="FF3301BF"/>
        <rFont val="Arial"/>
        <family val="2"/>
      </rPr>
      <t>(FOR GENERAL FUNDS)</t>
    </r>
  </si>
  <si>
    <r>
      <t xml:space="preserve">Take out the Medical </t>
    </r>
    <r>
      <rPr>
        <sz val="9"/>
        <color rgb="FF00B050"/>
        <rFont val="Arial"/>
        <family val="2"/>
      </rPr>
      <t>(Flat amount for FY 14-15)</t>
    </r>
  </si>
  <si>
    <t>Updated: 07/02/14</t>
  </si>
  <si>
    <r>
      <t xml:space="preserve">SALARY AND FRINGE CALCULATIONS FOR FY 14-15 </t>
    </r>
    <r>
      <rPr>
        <b/>
        <sz val="14"/>
        <color rgb="FFC00000"/>
        <rFont val="Arial"/>
        <family val="2"/>
      </rPr>
      <t>(FOR NON-GENERAL FUNDS)</t>
    </r>
  </si>
  <si>
    <r>
      <t xml:space="preserve">Take out the Medical </t>
    </r>
    <r>
      <rPr>
        <sz val="9"/>
        <color rgb="FF006600"/>
        <rFont val="Arial"/>
        <family val="2"/>
      </rPr>
      <t>(Flat amount for FY 14-15)</t>
    </r>
  </si>
  <si>
    <t>Updated: 7/2/14</t>
  </si>
  <si>
    <t>FY 14-15 BENEFITS RATES (PERMANENT EMPLOYEES)</t>
  </si>
  <si>
    <r>
      <t xml:space="preserve">Claims Rate Fringe Benefits </t>
    </r>
    <r>
      <rPr>
        <sz val="9"/>
        <color rgb="FF006600"/>
        <rFont val="Arial"/>
        <family val="2"/>
      </rPr>
      <t>(Salary x .0277 for both SPA &amp; EPA)</t>
    </r>
  </si>
  <si>
    <r>
      <t xml:space="preserve">Claims Rate Fringe Benefits </t>
    </r>
    <r>
      <rPr>
        <sz val="9"/>
        <color rgb="FF006600"/>
        <rFont val="Arial"/>
        <family val="2"/>
      </rPr>
      <t>(Salary x.0277 for both SPA &amp; EPA)</t>
    </r>
  </si>
  <si>
    <t>FY 14-15 BENEFITS RATES</t>
  </si>
  <si>
    <t>Employee Class</t>
  </si>
  <si>
    <t>Description</t>
  </si>
  <si>
    <t>Account Code</t>
  </si>
  <si>
    <t>SPA Temp - Hourly</t>
  </si>
  <si>
    <t>SPA Temp - Salaried</t>
  </si>
  <si>
    <t>SPA Misc Payment</t>
  </si>
  <si>
    <t>EPA 9 Month Faculty</t>
  </si>
  <si>
    <t>EPA Phased Retirement</t>
  </si>
  <si>
    <t>EPA 12 Month Faculty</t>
  </si>
  <si>
    <t>EPA Post Doctoral</t>
  </si>
  <si>
    <t>FICA - 919150</t>
  </si>
  <si>
    <t>State Retirement - 919050</t>
  </si>
  <si>
    <t>Optional Retirement - 918000</t>
  </si>
  <si>
    <t>EPA Non Faculty Special Pay</t>
  </si>
  <si>
    <t>Under Grad Students - Misc</t>
  </si>
  <si>
    <t>EPA Faculty Special Pay</t>
  </si>
  <si>
    <t>Federal Work Study Students (75% 590xxx and 25% 119110)</t>
  </si>
  <si>
    <t>SPA Permanent Full-time</t>
  </si>
  <si>
    <t xml:space="preserve">SPA Permanent Part-time </t>
  </si>
  <si>
    <t>&gt; .75</t>
  </si>
  <si>
    <t>&lt; .75</t>
  </si>
  <si>
    <t xml:space="preserve">EPA Permanent Non Faculty Full-Time </t>
  </si>
  <si>
    <t>EPA Permanent Non Faculty Part-Time</t>
  </si>
  <si>
    <t>FTE/Credits</t>
  </si>
  <si>
    <t>3 or more</t>
  </si>
  <si>
    <t>Grad Student - TA (Academic Year)</t>
  </si>
  <si>
    <t>Grad Student - RA (Academic Year)</t>
  </si>
  <si>
    <t>Grad Student - AA (Academic Year)</t>
  </si>
  <si>
    <t>Under Grad Students (Academic Year)</t>
  </si>
  <si>
    <t>6 or more</t>
  </si>
  <si>
    <t>https://research.uncc.edu/departments/grants-contracts-administration/grants-services/hiring-personnel/postdoctoral-fellows</t>
  </si>
  <si>
    <t>Post-Doc:</t>
  </si>
  <si>
    <t>Grad Students:</t>
  </si>
  <si>
    <t>https://studenthealth.uncc.edu/insurance</t>
  </si>
  <si>
    <t>3 min</t>
  </si>
  <si>
    <t>various</t>
  </si>
  <si>
    <t>Various</t>
  </si>
  <si>
    <r>
      <t xml:space="preserve">All Grad and Undergrad students - </t>
    </r>
    <r>
      <rPr>
        <b/>
        <sz val="8"/>
        <color rgb="FFFF0000"/>
        <rFont val="Arial"/>
        <family val="2"/>
      </rPr>
      <t>SUMMER</t>
    </r>
  </si>
  <si>
    <t>Exempt</t>
  </si>
  <si>
    <r>
      <t xml:space="preserve">Retirement </t>
    </r>
    <r>
      <rPr>
        <sz val="9"/>
        <color indexed="17"/>
        <rFont val="Arial"/>
        <family val="2"/>
      </rPr>
      <t>(Salary x .1521 for SPA or .1274 for EPA)</t>
    </r>
  </si>
  <si>
    <r>
      <t xml:space="preserve">LEO Retirement </t>
    </r>
    <r>
      <rPr>
        <sz val="9"/>
        <color indexed="17"/>
        <rFont val="Arial"/>
        <family val="2"/>
      </rPr>
      <t>(Salary x .2021 for both EPA &amp; SPA)</t>
    </r>
  </si>
  <si>
    <r>
      <t xml:space="preserve">LEO Retirement </t>
    </r>
    <r>
      <rPr>
        <sz val="9"/>
        <color rgb="FF0000FF"/>
        <rFont val="Arial"/>
        <family val="2"/>
      </rPr>
      <t>(Salary x .2021)</t>
    </r>
  </si>
  <si>
    <t>GENERAL FUNDS</t>
  </si>
  <si>
    <t>NON GENERAL FUNDS</t>
  </si>
  <si>
    <r>
      <t xml:space="preserve">Take out the Medical </t>
    </r>
    <r>
      <rPr>
        <sz val="9"/>
        <color rgb="FF00B050"/>
        <rFont val="Arial"/>
        <family val="2"/>
      </rPr>
      <t>(Flat amount for FY 15-16)</t>
    </r>
  </si>
  <si>
    <r>
      <t xml:space="preserve">SALARY AND FRINGE CALCULATIONS FOR FY 15-16 </t>
    </r>
    <r>
      <rPr>
        <b/>
        <sz val="14"/>
        <color rgb="FFC00000"/>
        <rFont val="Arial"/>
        <family val="2"/>
      </rPr>
      <t>(FOR NON-GENERAL FUNDS)</t>
    </r>
  </si>
  <si>
    <r>
      <t xml:space="preserve">Take out the Medical </t>
    </r>
    <r>
      <rPr>
        <sz val="9"/>
        <color rgb="FF006600"/>
        <rFont val="Arial"/>
        <family val="2"/>
      </rPr>
      <t>(Flat amount for FY 15-16)</t>
    </r>
  </si>
  <si>
    <t>SPA Fringe Total (w/o medical)</t>
  </si>
  <si>
    <t>EPA Fringe Total (w/o medical)</t>
  </si>
  <si>
    <t>LEO Fringe Total (w/o medical)</t>
  </si>
  <si>
    <r>
      <t xml:space="preserve">Claims Rate Fringe Benefits </t>
    </r>
    <r>
      <rPr>
        <sz val="9"/>
        <color rgb="FF006600"/>
        <rFont val="Arial"/>
        <family val="2"/>
      </rPr>
      <t>(Salary x .0395 for both SPA &amp; EPA)</t>
    </r>
  </si>
  <si>
    <t>FY 15-16 Medical - 917000</t>
  </si>
  <si>
    <t>321.27/mo</t>
  </si>
  <si>
    <t>Main fund</t>
  </si>
  <si>
    <t>Fund 2</t>
  </si>
  <si>
    <t>Fund 3</t>
  </si>
  <si>
    <t>Fund 4</t>
  </si>
  <si>
    <r>
      <t xml:space="preserve">SALARY AND FRINGE CALCULATIONS FOR FY 15-16 </t>
    </r>
    <r>
      <rPr>
        <b/>
        <sz val="14"/>
        <color rgb="FF3301BF"/>
        <rFont val="Arial"/>
        <family val="2"/>
      </rPr>
      <t>(FOR GENERAL FUNDS)</t>
    </r>
  </si>
  <si>
    <t>FY 15-16 BENEFITS RATES (PERMANENT EMPLOYEES)</t>
  </si>
  <si>
    <t>EPA Temp Non-Teaching Salaries</t>
  </si>
  <si>
    <t>EPA Temp Teaching Faculty</t>
  </si>
  <si>
    <t>Yes</t>
  </si>
  <si>
    <t>Fringe Budget Required on BD607</t>
  </si>
  <si>
    <t>No</t>
  </si>
  <si>
    <t>102 and 103 GENERAL FUNDS</t>
  </si>
  <si>
    <t xml:space="preserve">FY 15-16 Claims Made </t>
  </si>
  <si>
    <t>from</t>
  </si>
  <si>
    <t xml:space="preserve">to </t>
  </si>
  <si>
    <t>State Retirement</t>
  </si>
  <si>
    <t>LEOs</t>
  </si>
  <si>
    <t>ORP</t>
  </si>
  <si>
    <r>
      <t xml:space="preserve">Retirement </t>
    </r>
    <r>
      <rPr>
        <sz val="9"/>
        <color indexed="17"/>
        <rFont val="Arial"/>
        <family val="2"/>
      </rPr>
      <t>(Salary x .1532 for SPA or .1285 for EPA)</t>
    </r>
  </si>
  <si>
    <r>
      <t xml:space="preserve">LEO Retirement </t>
    </r>
    <r>
      <rPr>
        <sz val="9"/>
        <color indexed="17"/>
        <rFont val="Arial"/>
        <family val="2"/>
      </rPr>
      <t>(Salary x .2032 for both EPA &amp; SPA)</t>
    </r>
  </si>
  <si>
    <t>Updated: 9/18/15</t>
  </si>
  <si>
    <t>Changes from previous version</t>
  </si>
  <si>
    <t>Change decrease</t>
  </si>
  <si>
    <r>
      <t xml:space="preserve">Take out the Medical </t>
    </r>
    <r>
      <rPr>
        <sz val="9"/>
        <color rgb="FF00B050"/>
        <rFont val="Arial"/>
        <family val="2"/>
      </rPr>
      <t>(Flat amount for FY 16-17)</t>
    </r>
  </si>
  <si>
    <t>FY 16-17 BENEFITS RATES (PERMANENT EMPLOYEES)</t>
  </si>
  <si>
    <r>
      <t xml:space="preserve">Take out the Medical </t>
    </r>
    <r>
      <rPr>
        <sz val="9"/>
        <color rgb="FF006600"/>
        <rFont val="Arial"/>
        <family val="2"/>
      </rPr>
      <t>(Flat amount for FY 16-17)</t>
    </r>
  </si>
  <si>
    <r>
      <t xml:space="preserve">SALARY AND FRINGE CALCULATIONS FOR FY 16-17 </t>
    </r>
    <r>
      <rPr>
        <b/>
        <sz val="14"/>
        <color rgb="FF3301BF"/>
        <rFont val="Arial"/>
        <family val="2"/>
      </rPr>
      <t>(FOR GENERAL FUNDS)</t>
    </r>
  </si>
  <si>
    <r>
      <t xml:space="preserve">SALARY AND FRINGE CALCULATIONS FOR FY 16-17 </t>
    </r>
    <r>
      <rPr>
        <b/>
        <sz val="14"/>
        <color rgb="FFC00000"/>
        <rFont val="Arial"/>
        <family val="2"/>
      </rPr>
      <t>(FOR NON-GENERAL FUNDS)</t>
    </r>
  </si>
  <si>
    <t>n/a</t>
  </si>
  <si>
    <t>Fringe Benefits must be paid from the same source as the salary</t>
  </si>
  <si>
    <t>http://www.ncga.state.nc.us/EnactedLegislation/Statutes/PDF/BySection/Chapter_143C/GS_143C-6-6.pdf</t>
  </si>
  <si>
    <t>SHRA</t>
  </si>
  <si>
    <t>SHRA Fringe Total (w/o medical)</t>
  </si>
  <si>
    <t>EHRA</t>
  </si>
  <si>
    <t>EHRA Fringe Total (w/o medical)</t>
  </si>
  <si>
    <t>SHRA Fringe Total w/o medical</t>
  </si>
  <si>
    <t>Claims Rate Fringe Benefits (Salary x .0520 for both SHRA &amp; EHRA)</t>
  </si>
  <si>
    <t>Claims Rate Fringe Benefits (For EHRA/Faculty &amp; SHRA Permanent)</t>
  </si>
  <si>
    <t>EHRA Fringe total w/o medical</t>
  </si>
  <si>
    <t>SHRA Permanent Full-time</t>
  </si>
  <si>
    <t xml:space="preserve">SHRA Permanent Part-time </t>
  </si>
  <si>
    <t>SHRA Temp - Hourly</t>
  </si>
  <si>
    <t>SHRA Temp - Salaried</t>
  </si>
  <si>
    <t>SHRA Misc Payment</t>
  </si>
  <si>
    <t xml:space="preserve">EHRA Permanent Non Faculty Full-Time </t>
  </si>
  <si>
    <t>EHRA Permanent Non Faculty Part-Time</t>
  </si>
  <si>
    <t>EHRA 9 Month Faculty</t>
  </si>
  <si>
    <t>EHRA Phased Retirement</t>
  </si>
  <si>
    <t>EHRA 12 Month Faculty</t>
  </si>
  <si>
    <t>EHRA Post Doctoral</t>
  </si>
  <si>
    <t>EHRA Temp Non-Teaching Salaries</t>
  </si>
  <si>
    <t>EHRA Non Faculty Special Pay</t>
  </si>
  <si>
    <t>EHRA Faculty Special Pay</t>
  </si>
  <si>
    <t>EHRA Temp Teaching Faculty</t>
  </si>
  <si>
    <t>https://research.uncc.edu/dEHRArtments/grants-contracts-administration/grants-services/hiring-personnel/postdoctoral-fellows</t>
  </si>
  <si>
    <t>Retirement (Salary x .1633 for SHRA or .1303 for EHRA)</t>
  </si>
  <si>
    <t>LEO Retirement (Salary x .2133 for both EHRA &amp; SHRA)</t>
  </si>
  <si>
    <t xml:space="preserve">Medical Insurance </t>
  </si>
  <si>
    <t>Updated: 11/21/16</t>
  </si>
  <si>
    <t xml:space="preserve">Federal Work Study Students </t>
  </si>
  <si>
    <t>SHRA Permanent Full-time (Law Enforcement Officers - LEO)</t>
  </si>
  <si>
    <t>EHRA Permanent Non Faculty Full-Time (LEO)</t>
  </si>
  <si>
    <t>Student Non-Employment</t>
  </si>
  <si>
    <t>LEO Retirement - 919100</t>
  </si>
  <si>
    <t>FY 17-18 Medical - 917xxx</t>
  </si>
  <si>
    <t>Changes in NC Benefit Rates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</si>
  <si>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</si>
  <si>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</si>
  <si>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</si>
  <si>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</si>
  <si>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</si>
  <si>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</si>
  <si>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</si>
  <si>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</si>
  <si>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</si>
  <si>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</si>
  <si>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</si>
  <si>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</si>
  <si>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</si>
  <si>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</si>
  <si>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</si>
  <si>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 xml:space="preserve">2012-13 </t>
  </si>
  <si>
    <t>2013-14</t>
  </si>
  <si>
    <t>2014-15</t>
  </si>
  <si>
    <t>2015-16</t>
  </si>
  <si>
    <t>2016-17
7/1/16-12/31/16</t>
  </si>
  <si>
    <t>2016-17
1/1/17-6/30/17</t>
  </si>
  <si>
    <t>2017-18</t>
  </si>
  <si>
    <t>2018-19</t>
  </si>
  <si>
    <t>S.L. 2016-94</t>
  </si>
  <si>
    <t>S.L. 2017-57</t>
  </si>
  <si>
    <t>S.L. 2018-5</t>
  </si>
  <si>
    <t>Effective date</t>
  </si>
  <si>
    <t>7/1/99</t>
  </si>
  <si>
    <t>7/1/00</t>
  </si>
  <si>
    <t>7/1/01</t>
  </si>
  <si>
    <t>Eff. 10/1/99; FY 00 annual amt is $2,126</t>
  </si>
  <si>
    <t>Eff. 7/1/00</t>
  </si>
  <si>
    <t>10/1/01;
FY 02 annual amt is $2,764</t>
  </si>
  <si>
    <t>10/1/03
FY 04 annual amt is $3,307</t>
  </si>
  <si>
    <t>10/1/05
FY 06 annual amt is $3,669</t>
  </si>
  <si>
    <t>10/1/07
FY 08 annual amt is $x,xxx</t>
  </si>
  <si>
    <t>Average salary</t>
  </si>
  <si>
    <t>Calculate medical pct</t>
  </si>
  <si>
    <t>Use weighted average of $4,080 for internal budgeting purposes</t>
  </si>
  <si>
    <t>Average retirement</t>
  </si>
  <si>
    <t>Average benefits</t>
  </si>
  <si>
    <t>Optional Retirement Plan</t>
  </si>
  <si>
    <t>J:\GENERAL\FY08\Medical rate for budgeting purposes 08.xls</t>
  </si>
  <si>
    <t>Fringe Budget Required on FTR</t>
  </si>
  <si>
    <t>Employee Types</t>
  </si>
  <si>
    <t>Permanent</t>
  </si>
  <si>
    <t>Temporary</t>
  </si>
  <si>
    <t>BR types</t>
  </si>
  <si>
    <t>x</t>
  </si>
  <si>
    <t>FY 19-20 Medical - 917000</t>
  </si>
  <si>
    <t>2019-20</t>
  </si>
  <si>
    <r>
      <t xml:space="preserve">Take out the Medical </t>
    </r>
    <r>
      <rPr>
        <sz val="9"/>
        <color rgb="FF00B050"/>
        <rFont val="Arial"/>
        <family val="2"/>
      </rPr>
      <t>(Flat amount for FY 19-20)</t>
    </r>
  </si>
  <si>
    <t>FY 20-21</t>
  </si>
  <si>
    <r>
      <t xml:space="preserve">SALARY AND FRINGE CALCULATIONS FOR FY20-21 </t>
    </r>
    <r>
      <rPr>
        <b/>
        <sz val="14"/>
        <color rgb="FF3301BF"/>
        <rFont val="Arial"/>
        <family val="2"/>
      </rPr>
      <t>(FOR GENERAL FUNDS)</t>
    </r>
  </si>
  <si>
    <t>SHRA Permanent Full-time (LEOs)</t>
  </si>
  <si>
    <r>
      <t xml:space="preserve">Take out the Medical </t>
    </r>
    <r>
      <rPr>
        <sz val="9"/>
        <color rgb="FF006600"/>
        <rFont val="Arial"/>
        <family val="2"/>
      </rPr>
      <t>(Flat amount for FY 20-21)</t>
    </r>
  </si>
  <si>
    <t>2020-21</t>
  </si>
  <si>
    <t>FY 20-21 BENEFITS RATES (PERMANENT EMPLOYEES)</t>
  </si>
  <si>
    <t>TSERS</t>
  </si>
  <si>
    <t>911100 and 913100</t>
  </si>
  <si>
    <t>LEOS</t>
  </si>
  <si>
    <t>911090 and 912090</t>
  </si>
  <si>
    <t>Account Codes</t>
  </si>
  <si>
    <t>Types</t>
  </si>
  <si>
    <t>Rates/Amounts</t>
  </si>
  <si>
    <t>Claims Rate Fringe Benefits (Salary x .00503 for both SHRA &amp; EHRA)</t>
  </si>
  <si>
    <t>Retirement (Salary x .2168 for SHRA or .1361 for EHRA)</t>
  </si>
  <si>
    <t>LEO Retirement (Salary x .2668 for both EHRA &amp; SHRA)</t>
  </si>
  <si>
    <t>S.L. 2020-45</t>
  </si>
  <si>
    <r>
      <t xml:space="preserve">SALARY AND FRINGE CALCULATIONS FOR FY 20-21 </t>
    </r>
    <r>
      <rPr>
        <b/>
        <sz val="14"/>
        <color rgb="FFC00000"/>
        <rFont val="Arial"/>
        <family val="2"/>
      </rPr>
      <t>(NON-GENERAL FUNDS)</t>
    </r>
  </si>
  <si>
    <t>Updated:  03/04/21</t>
  </si>
  <si>
    <r>
      <t>If you have the total available Budget</t>
    </r>
    <r>
      <rPr>
        <sz val="9"/>
        <color indexed="10"/>
        <rFont val="Arial"/>
        <family val="2"/>
      </rPr>
      <t xml:space="preserve"> (enter amount here)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============&gt;</t>
    </r>
  </si>
  <si>
    <r>
      <t>If you know the salary</t>
    </r>
    <r>
      <rPr>
        <sz val="9"/>
        <color indexed="10"/>
        <rFont val="Arial"/>
        <family val="2"/>
      </rPr>
      <t xml:space="preserve"> (enter amount here)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====================&gt;</t>
    </r>
  </si>
  <si>
    <r>
      <t xml:space="preserve">SALARY AND FRINGE CALCULATIONS FOR FY 21-22 </t>
    </r>
    <r>
      <rPr>
        <b/>
        <sz val="14"/>
        <color rgb="FF3301BF"/>
        <rFont val="Arial"/>
        <family val="2"/>
      </rPr>
      <t>(FOR GENERAL FUNDS)</t>
    </r>
  </si>
  <si>
    <r>
      <t xml:space="preserve">SALARY AND FRINGE CALCULATIONS FOR FY 21-22 </t>
    </r>
    <r>
      <rPr>
        <b/>
        <sz val="14"/>
        <color rgb="FFC00000"/>
        <rFont val="Arial"/>
        <family val="2"/>
      </rPr>
      <t>(NON-GENERAL FUNDS)</t>
    </r>
  </si>
  <si>
    <t>2021-22</t>
  </si>
  <si>
    <r>
      <t xml:space="preserve">Take out the Medical </t>
    </r>
    <r>
      <rPr>
        <sz val="9"/>
        <color rgb="FF006600"/>
        <rFont val="Arial"/>
        <family val="2"/>
      </rPr>
      <t>(Flat amount for FY 21-22)</t>
    </r>
  </si>
  <si>
    <t>FY 21-22 BENEFITS RATES (PERMANENT EMPLOYEES)</t>
  </si>
  <si>
    <t>Claims Rate Fringe Benefits (Salary x .00489 for both SHRA &amp; EHRA)</t>
  </si>
  <si>
    <r>
      <t>If you know the salary</t>
    </r>
    <r>
      <rPr>
        <sz val="9"/>
        <color indexed="10"/>
        <rFont val="Arial"/>
        <family val="2"/>
      </rPr>
      <t xml:space="preserve"> (enter amount here)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================&gt;</t>
    </r>
  </si>
  <si>
    <r>
      <t>If you have the total available Budget</t>
    </r>
    <r>
      <rPr>
        <sz val="9"/>
        <color indexed="10"/>
        <rFont val="Arial"/>
        <family val="2"/>
      </rPr>
      <t xml:space="preserve"> (enter amount here)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=========&gt;</t>
    </r>
  </si>
  <si>
    <t>LEO Retirement (Salary x .2789 for both EHRA &amp; SHRA)</t>
  </si>
  <si>
    <t>Updated:  11/30/21</t>
  </si>
  <si>
    <r>
      <t xml:space="preserve">Take out the Medical </t>
    </r>
    <r>
      <rPr>
        <sz val="9"/>
        <color rgb="FF00B050"/>
        <rFont val="Arial"/>
        <family val="2"/>
      </rPr>
      <t>(Flat amount for FY 20-21)</t>
    </r>
  </si>
  <si>
    <t>S.L 2021-180</t>
  </si>
  <si>
    <t>Retirement (Salary x .2289 for SHRA or .1322 for EHRA)</t>
  </si>
  <si>
    <t>Medical - 917000</t>
  </si>
  <si>
    <r>
      <t>State retirement</t>
    </r>
    <r>
      <rPr>
        <sz val="9"/>
        <rFont val="Arial"/>
        <family val="2"/>
      </rPr>
      <t xml:space="preserve"> (919050)</t>
    </r>
  </si>
  <si>
    <r>
      <t>Optional retirement</t>
    </r>
    <r>
      <rPr>
        <sz val="9"/>
        <rFont val="Arial"/>
        <family val="2"/>
      </rPr>
      <t xml:space="preserve"> (918000)</t>
    </r>
  </si>
  <si>
    <r>
      <t>Law officers' retirement</t>
    </r>
    <r>
      <rPr>
        <sz val="9"/>
        <rFont val="Arial"/>
        <family val="2"/>
      </rPr>
      <t xml:space="preserve"> (919000)</t>
    </r>
  </si>
  <si>
    <t>Medical insurance (917000)</t>
  </si>
  <si>
    <t>2022-23</t>
  </si>
  <si>
    <t>S.L. 2022-74</t>
  </si>
  <si>
    <t>https://research.charlotte.edu/departments/grants-contracts-administration-gca/post-award-management/hiring-personnel</t>
  </si>
  <si>
    <t>https://studenthealth.charlotte.edu/insurance</t>
  </si>
  <si>
    <r>
      <t xml:space="preserve">SALARY AND FRINGE CALCULATIONS FOR FY 23-24 </t>
    </r>
    <r>
      <rPr>
        <b/>
        <sz val="14"/>
        <color rgb="FF3301BF"/>
        <rFont val="Arial"/>
        <family val="2"/>
      </rPr>
      <t>(FOR GENERAL FUNDS)</t>
    </r>
  </si>
  <si>
    <r>
      <t xml:space="preserve">Take out the Medical </t>
    </r>
    <r>
      <rPr>
        <sz val="9"/>
        <color rgb="FF006600"/>
        <rFont val="Arial"/>
        <family val="2"/>
      </rPr>
      <t>(Flat amount for FY 23-24)</t>
    </r>
  </si>
  <si>
    <t>FY 23-24 BENEFITS RATES (PERMANENT EMPLOYEES)</t>
  </si>
  <si>
    <r>
      <t xml:space="preserve">Take out the Medical </t>
    </r>
    <r>
      <rPr>
        <sz val="9"/>
        <color rgb="FF00B050"/>
        <rFont val="Arial"/>
        <family val="2"/>
      </rPr>
      <t>(Flat amount for FY 23-24)</t>
    </r>
  </si>
  <si>
    <r>
      <t xml:space="preserve">SALARY AND FRINGE CALCULATIONS FOR FY 23-24 </t>
    </r>
    <r>
      <rPr>
        <b/>
        <sz val="14"/>
        <color rgb="FFC00000"/>
        <rFont val="Arial"/>
        <family val="2"/>
      </rPr>
      <t>(NON-GENERAL FUNDS)</t>
    </r>
  </si>
  <si>
    <t>2023-24</t>
  </si>
  <si>
    <t>Retirement (Salary x .2502 for SHRA or .1409 for EHRA)</t>
  </si>
  <si>
    <t>LEO Retirement (Salary x .3002 for both EHRA &amp; SHRA)</t>
  </si>
  <si>
    <t>Admin GA's &amp; Under Grad Students (Academic Year)</t>
  </si>
  <si>
    <t>Claims Made - 919700</t>
  </si>
  <si>
    <t>NGF Only</t>
  </si>
  <si>
    <t>ALL FUNDS</t>
  </si>
  <si>
    <t>GF Permanent</t>
  </si>
  <si>
    <t>NGF Permanent</t>
  </si>
  <si>
    <t>***</t>
  </si>
  <si>
    <t xml:space="preserve">   Example: 911200 is permanently budgeted at 911100</t>
  </si>
  <si>
    <t xml:space="preserve">   Example: 913200 is permanently budgeted at 913100</t>
  </si>
  <si>
    <r>
      <rPr>
        <sz val="10"/>
        <color rgb="FFFF0000"/>
        <rFont val="Arial"/>
        <family val="2"/>
      </rPr>
      <t>***</t>
    </r>
    <r>
      <rPr>
        <sz val="10"/>
        <rFont val="Arial"/>
        <family val="2"/>
      </rPr>
      <t xml:space="preserve"> Can only permanently budget at the salary line level on general funds.</t>
    </r>
  </si>
  <si>
    <t>Temporary Employee Types</t>
  </si>
  <si>
    <t>Budget Type</t>
  </si>
  <si>
    <t>FTE/ Credits</t>
  </si>
  <si>
    <t>Non Student Temp</t>
  </si>
  <si>
    <t xml:space="preserve">Temporary Employee Budget (NGF) EXAMPLE </t>
  </si>
  <si>
    <t>Student Temp</t>
  </si>
  <si>
    <r>
      <t>If you know the temp budget</t>
    </r>
    <r>
      <rPr>
        <sz val="9"/>
        <color indexed="10"/>
        <rFont val="Arial"/>
        <family val="2"/>
      </rPr>
      <t xml:space="preserve"> (enter amount here)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================&gt;</t>
    </r>
  </si>
  <si>
    <t>TEMPORARY EMPLOYEE FRINGE CALCULATIONS FOR FY 23-24</t>
  </si>
  <si>
    <t>FY 23-24</t>
  </si>
  <si>
    <t>Updated:  10/3/2023</t>
  </si>
  <si>
    <t>Claims Rate Fringe Benefits (Salary x .001 for all temp)</t>
  </si>
  <si>
    <t>S.L. 2023-134</t>
  </si>
  <si>
    <r>
      <t xml:space="preserve">SALARY AND FRINGE CALCULATIONS FOR FY 22-23 </t>
    </r>
    <r>
      <rPr>
        <b/>
        <sz val="14"/>
        <color rgb="FF3301BF"/>
        <rFont val="Arial"/>
        <family val="2"/>
      </rPr>
      <t>(FOR GENERAL FUNDS)</t>
    </r>
  </si>
  <si>
    <r>
      <t xml:space="preserve">Take out the Medical </t>
    </r>
    <r>
      <rPr>
        <sz val="9"/>
        <color rgb="FF006600"/>
        <rFont val="Arial"/>
        <family val="2"/>
      </rPr>
      <t>(Flat amount for FY 22-23)</t>
    </r>
  </si>
  <si>
    <t>Retirement (Salary x .2450 for SHRA or .1383 for EHRA)</t>
  </si>
  <si>
    <t>FY 22-23 BENEFITS RATES (PERMANENT EMPLOYEES)</t>
  </si>
  <si>
    <t>LEO Retirement (Salary x .2950 for both EHRA &amp; SHRA)</t>
  </si>
  <si>
    <t>Updated:  7/12/2022</t>
  </si>
  <si>
    <r>
      <t xml:space="preserve">SALARY AND FRINGE CALCULATIONS FOR FY 22-23 </t>
    </r>
    <r>
      <rPr>
        <b/>
        <sz val="14"/>
        <color rgb="FFC00000"/>
        <rFont val="Arial"/>
        <family val="2"/>
      </rPr>
      <t>(NON-GENERAL FUNDS)</t>
    </r>
  </si>
  <si>
    <t>Claims Rate Fringe Benefits (Salary x .00227 for both SHRA &amp; EHRA)</t>
  </si>
  <si>
    <t>Split funded Position Calculator</t>
  </si>
  <si>
    <t>Fund #1</t>
  </si>
  <si>
    <t>Fund #2</t>
  </si>
  <si>
    <t>Amount</t>
  </si>
  <si>
    <t>Percent</t>
  </si>
  <si>
    <t>Fund #3</t>
  </si>
  <si>
    <t>Total</t>
  </si>
  <si>
    <t>***Must equal 100%</t>
  </si>
  <si>
    <t>Salary Split Based on Amount</t>
  </si>
  <si>
    <t>Salary Split Based on Percent</t>
  </si>
  <si>
    <r>
      <t xml:space="preserve">Use the calculators below to determine the correct </t>
    </r>
    <r>
      <rPr>
        <u/>
        <sz val="10"/>
        <rFont val="Arial"/>
        <family val="2"/>
      </rPr>
      <t>Amount</t>
    </r>
    <r>
      <rPr>
        <sz val="10"/>
        <rFont val="Arial"/>
        <family val="2"/>
      </rPr>
      <t xml:space="preserve"> and </t>
    </r>
    <r>
      <rPr>
        <u/>
        <sz val="10"/>
        <rFont val="Arial"/>
        <family val="2"/>
      </rPr>
      <t>Percent</t>
    </r>
    <r>
      <rPr>
        <sz val="10"/>
        <rFont val="Arial"/>
        <family val="2"/>
      </rPr>
      <t xml:space="preserve"> that will be charged to each fund.</t>
    </r>
  </si>
  <si>
    <r>
      <t xml:space="preserve">You will need to update </t>
    </r>
    <r>
      <rPr>
        <u/>
        <sz val="10"/>
        <rFont val="Arial"/>
        <family val="2"/>
      </rPr>
      <t>NinerTalent</t>
    </r>
    <r>
      <rPr>
        <sz val="10"/>
        <rFont val="Arial"/>
        <family val="2"/>
      </rPr>
      <t xml:space="preserve"> and the </t>
    </r>
    <r>
      <rPr>
        <u/>
        <sz val="10"/>
        <rFont val="Arial"/>
        <family val="2"/>
      </rPr>
      <t>PD-7</t>
    </r>
    <r>
      <rPr>
        <sz val="10"/>
        <rFont val="Arial"/>
        <family val="2"/>
      </rPr>
      <t xml:space="preserve"> (if required) based on the information below. </t>
    </r>
  </si>
  <si>
    <t xml:space="preserve">   Percents should be rounded to 2 decimal places if you need a specific amount charged to each fund.</t>
  </si>
  <si>
    <t>Instructions: Update the "Amount" fields based on the salary split you need</t>
  </si>
  <si>
    <t>Instructions: Enter the "Total" and update the "Percent" fields based on the salary split you need</t>
  </si>
  <si>
    <t>Claims Rate Fringe Benefits (Salary x .0438 for both SHRA &amp; EHRA)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</si>
</sst>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%"/>
    <numFmt numFmtId="167" formatCode="mm/dd/yy;@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4"/>
      <name val="Arial"/>
      <family val="2"/>
    </font>
    <font>
      <sz val="9"/>
      <color rgb="FF00B050"/>
      <name val="Arial"/>
      <family val="2"/>
    </font>
    <font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9"/>
      <color rgb="FF0000FF"/>
      <name val="Arial"/>
      <family val="2"/>
    </font>
    <font>
      <sz val="9"/>
      <color rgb="FF006600"/>
      <name val="Arial"/>
      <family val="2"/>
    </font>
    <font>
      <b/>
      <sz val="14"/>
      <color rgb="FFC00000"/>
      <name val="Arial"/>
      <family val="2"/>
    </font>
    <font>
      <b/>
      <sz val="14"/>
      <color rgb="FF3301BF"/>
      <name val="Arial"/>
      <family val="2"/>
    </font>
    <font>
      <sz val="8"/>
      <name val="Arial"/>
      <family val="2"/>
    </font>
    <font>
      <sz val="8"/>
      <name val="Wingdings 2"/>
      <family val="1"/>
      <charset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b/>
      <u/>
      <sz val="10"/>
      <color rgb="FF3301BF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indexed="23"/>
      <name val="Arial"/>
      <family val="2"/>
    </font>
    <font>
      <sz val="7"/>
      <color indexed="23"/>
      <name val="Arial"/>
      <family val="2"/>
    </font>
    <font>
      <u/>
      <sz val="8.5"/>
      <color indexed="12"/>
      <name val="Arial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b/>
      <u/>
      <sz val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4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98">
    <xf numFmtId="0" fontId="0" fillId="0" borderId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2" applyNumberFormat="0" applyAlignment="0" applyProtection="0"/>
    <xf numFmtId="0" fontId="30" fillId="10" borderId="13" applyNumberFormat="0" applyAlignment="0" applyProtection="0"/>
    <xf numFmtId="0" fontId="31" fillId="10" borderId="12" applyNumberFormat="0" applyAlignment="0" applyProtection="0"/>
    <xf numFmtId="0" fontId="32" fillId="0" borderId="14" applyNumberFormat="0" applyFill="0" applyAlignment="0" applyProtection="0"/>
    <xf numFmtId="0" fontId="33" fillId="11" borderId="1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4" fillId="12" borderId="16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12" borderId="16" applyNumberFormat="0" applyFont="0" applyAlignment="0" applyProtection="0"/>
    <xf numFmtId="0" fontId="4" fillId="12" borderId="16" applyNumberFormat="0" applyFont="0" applyAlignment="0" applyProtection="0"/>
    <xf numFmtId="0" fontId="38" fillId="0" borderId="0"/>
    <xf numFmtId="0" fontId="4" fillId="12" borderId="16" applyNumberFormat="0" applyFont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12" borderId="16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2" borderId="16" applyNumberFormat="0" applyFont="0" applyAlignment="0" applyProtection="0"/>
    <xf numFmtId="0" fontId="38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4" fillId="12" borderId="16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0" borderId="0"/>
    <xf numFmtId="0" fontId="38" fillId="0" borderId="0"/>
    <xf numFmtId="0" fontId="3" fillId="30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7" borderId="0" applyNumberFormat="0" applyBorder="0" applyAlignment="0" applyProtection="0"/>
    <xf numFmtId="0" fontId="3" fillId="12" borderId="16" applyNumberFormat="0" applyFont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8" borderId="0" applyNumberFormat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16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16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2" borderId="16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12" borderId="16" applyNumberFormat="0" applyFont="0" applyAlignment="0" applyProtection="0"/>
    <xf numFmtId="0" fontId="3" fillId="15" borderId="0" applyNumberFormat="0" applyBorder="0" applyAlignment="0" applyProtection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16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16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6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16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16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6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51" fillId="0" borderId="0"/>
    <xf numFmtId="0" fontId="38" fillId="0" borderId="0"/>
    <xf numFmtId="0" fontId="38" fillId="0" borderId="0"/>
    <xf numFmtId="0" fontId="2" fillId="0" borderId="0"/>
    <xf numFmtId="0" fontId="2" fillId="12" borderId="16" applyNumberFormat="0" applyFont="0" applyAlignment="0" applyProtection="0"/>
    <xf numFmtId="0" fontId="2" fillId="12" borderId="16" applyNumberFormat="0" applyFon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9" fontId="3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6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6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4" fontId="38" fillId="0" borderId="0" applyFont="0" applyFill="0" applyBorder="0" applyAlignment="0" applyProtection="0"/>
    <xf numFmtId="0" fontId="1" fillId="0" borderId="0"/>
    <xf numFmtId="0" fontId="1" fillId="12" borderId="16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16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16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12" borderId="16" applyNumberFormat="0" applyFont="0" applyAlignment="0" applyProtection="0"/>
    <xf numFmtId="0" fontId="1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3" fillId="0" borderId="0"/>
    <xf numFmtId="0" fontId="57" fillId="0" borderId="0" applyNumberFormat="0" applyFill="0" applyBorder="0" applyAlignment="0" applyProtection="0">
      <alignment vertical="top"/>
      <protection locked="0"/>
    </xf>
    <xf numFmtId="44" fontId="63" fillId="0" borderId="0" applyFont="0" applyFill="0" applyBorder="0" applyAlignment="0" applyProtection="0"/>
  </cellStyleXfs>
  <cellXfs count="443">
    <xf numFmtId="0" fontId="0" fillId="0" borderId="0" xfId="0"/>
    <xf numFmtId="0" fontId="5" fillId="0" borderId="0" xfId="0" applyFont="1"/>
    <xf numFmtId="0" fontId="0" fillId="0" borderId="1" xfId="0" applyBorder="1"/>
    <xf numFmtId="3" fontId="0" fillId="0" borderId="1" xfId="0" applyNumberFormat="1" applyBorder="1"/>
    <xf numFmtId="3" fontId="5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" fontId="0" fillId="0" borderId="0" xfId="0" applyNumberFormat="1"/>
    <xf numFmtId="0" fontId="0" fillId="0" borderId="6" xfId="0" applyBorder="1"/>
    <xf numFmtId="3" fontId="0" fillId="0" borderId="3" xfId="0" applyNumberFormat="1" applyBorder="1"/>
    <xf numFmtId="3" fontId="5" fillId="0" borderId="3" xfId="0" applyNumberFormat="1" applyFont="1" applyBorder="1"/>
    <xf numFmtId="3" fontId="0" fillId="0" borderId="5" xfId="0" applyNumberForma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/>
    <xf numFmtId="0" fontId="8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8" fillId="2" borderId="2" xfId="0" applyFont="1" applyFill="1" applyBorder="1"/>
    <xf numFmtId="0" fontId="0" fillId="2" borderId="0" xfId="0" applyFill="1"/>
    <xf numFmtId="0" fontId="0" fillId="2" borderId="3" xfId="0" applyFill="1" applyBorder="1"/>
    <xf numFmtId="0" fontId="7" fillId="2" borderId="2" xfId="0" applyFont="1" applyFill="1" applyBorder="1"/>
    <xf numFmtId="0" fontId="7" fillId="2" borderId="0" xfId="0" applyFont="1" applyFill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2" xfId="0" applyFill="1" applyBorder="1"/>
    <xf numFmtId="42" fontId="0" fillId="2" borderId="3" xfId="0" applyNumberFormat="1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6" xfId="0" applyFont="1" applyBorder="1"/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4" fillId="0" borderId="2" xfId="0" applyFont="1" applyBorder="1"/>
    <xf numFmtId="3" fontId="14" fillId="0" borderId="0" xfId="0" applyNumberFormat="1" applyFont="1"/>
    <xf numFmtId="3" fontId="14" fillId="0" borderId="3" xfId="0" applyNumberFormat="1" applyFont="1" applyBorder="1"/>
    <xf numFmtId="3" fontId="15" fillId="0" borderId="0" xfId="0" applyNumberFormat="1" applyFont="1"/>
    <xf numFmtId="3" fontId="15" fillId="0" borderId="3" xfId="0" applyNumberFormat="1" applyFont="1" applyBorder="1"/>
    <xf numFmtId="0" fontId="14" fillId="0" borderId="3" xfId="0" applyFont="1" applyBorder="1"/>
    <xf numFmtId="0" fontId="14" fillId="0" borderId="4" xfId="0" applyFont="1" applyBorder="1"/>
    <xf numFmtId="3" fontId="14" fillId="0" borderId="1" xfId="0" applyNumberFormat="1" applyFont="1" applyBorder="1"/>
    <xf numFmtId="3" fontId="14" fillId="0" borderId="5" xfId="0" applyNumberFormat="1" applyFont="1" applyBorder="1"/>
    <xf numFmtId="0" fontId="14" fillId="0" borderId="1" xfId="0" applyFont="1" applyBorder="1"/>
    <xf numFmtId="0" fontId="14" fillId="0" borderId="5" xfId="0" applyFont="1" applyBorder="1"/>
    <xf numFmtId="0" fontId="16" fillId="3" borderId="6" xfId="0" applyFont="1" applyFill="1" applyBorder="1"/>
    <xf numFmtId="0" fontId="14" fillId="3" borderId="7" xfId="0" applyFont="1" applyFill="1" applyBorder="1"/>
    <xf numFmtId="0" fontId="14" fillId="3" borderId="8" xfId="0" applyFont="1" applyFill="1" applyBorder="1"/>
    <xf numFmtId="0" fontId="16" fillId="3" borderId="2" xfId="0" applyFont="1" applyFill="1" applyBorder="1"/>
    <xf numFmtId="0" fontId="14" fillId="3" borderId="0" xfId="0" applyFont="1" applyFill="1"/>
    <xf numFmtId="0" fontId="14" fillId="3" borderId="3" xfId="0" applyFont="1" applyFill="1" applyBorder="1"/>
    <xf numFmtId="0" fontId="13" fillId="3" borderId="2" xfId="0" applyFont="1" applyFill="1" applyBorder="1"/>
    <xf numFmtId="0" fontId="13" fillId="3" borderId="0" xfId="0" applyFont="1" applyFill="1" applyAlignment="1">
      <alignment horizontal="right"/>
    </xf>
    <xf numFmtId="0" fontId="13" fillId="3" borderId="3" xfId="0" applyFont="1" applyFill="1" applyBorder="1" applyAlignment="1">
      <alignment horizontal="right"/>
    </xf>
    <xf numFmtId="0" fontId="14" fillId="3" borderId="2" xfId="0" applyFont="1" applyFill="1" applyBorder="1"/>
    <xf numFmtId="42" fontId="14" fillId="3" borderId="3" xfId="0" applyNumberFormat="1" applyFont="1" applyFill="1" applyBorder="1"/>
    <xf numFmtId="4" fontId="14" fillId="3" borderId="0" xfId="0" applyNumberFormat="1" applyFont="1" applyFill="1"/>
    <xf numFmtId="0" fontId="14" fillId="3" borderId="4" xfId="0" applyFont="1" applyFill="1" applyBorder="1"/>
    <xf numFmtId="4" fontId="14" fillId="3" borderId="1" xfId="0" applyNumberFormat="1" applyFont="1" applyFill="1" applyBorder="1"/>
    <xf numFmtId="0" fontId="14" fillId="3" borderId="5" xfId="0" applyFont="1" applyFill="1" applyBorder="1"/>
    <xf numFmtId="0" fontId="16" fillId="4" borderId="6" xfId="0" applyFont="1" applyFill="1" applyBorder="1"/>
    <xf numFmtId="0" fontId="14" fillId="4" borderId="7" xfId="0" applyFont="1" applyFill="1" applyBorder="1"/>
    <xf numFmtId="0" fontId="14" fillId="4" borderId="8" xfId="0" applyFont="1" applyFill="1" applyBorder="1"/>
    <xf numFmtId="0" fontId="16" fillId="4" borderId="2" xfId="0" applyFont="1" applyFill="1" applyBorder="1"/>
    <xf numFmtId="0" fontId="14" fillId="4" borderId="0" xfId="0" applyFont="1" applyFill="1"/>
    <xf numFmtId="0" fontId="14" fillId="4" borderId="3" xfId="0" applyFont="1" applyFill="1" applyBorder="1"/>
    <xf numFmtId="0" fontId="13" fillId="4" borderId="2" xfId="0" applyFont="1" applyFill="1" applyBorder="1"/>
    <xf numFmtId="0" fontId="13" fillId="4" borderId="0" xfId="0" applyFont="1" applyFill="1" applyAlignment="1">
      <alignment horizontal="right"/>
    </xf>
    <xf numFmtId="0" fontId="13" fillId="4" borderId="3" xfId="0" applyFont="1" applyFill="1" applyBorder="1" applyAlignment="1">
      <alignment horizontal="right"/>
    </xf>
    <xf numFmtId="0" fontId="14" fillId="4" borderId="2" xfId="0" applyFont="1" applyFill="1" applyBorder="1"/>
    <xf numFmtId="42" fontId="14" fillId="4" borderId="3" xfId="0" applyNumberFormat="1" applyFont="1" applyFill="1" applyBorder="1"/>
    <xf numFmtId="4" fontId="14" fillId="4" borderId="0" xfId="0" applyNumberFormat="1" applyFont="1" applyFill="1"/>
    <xf numFmtId="0" fontId="14" fillId="4" borderId="4" xfId="0" applyFont="1" applyFill="1" applyBorder="1"/>
    <xf numFmtId="4" fontId="14" fillId="4" borderId="1" xfId="0" applyNumberFormat="1" applyFont="1" applyFill="1" applyBorder="1"/>
    <xf numFmtId="0" fontId="14" fillId="4" borderId="5" xfId="0" applyFont="1" applyFill="1" applyBorder="1"/>
    <xf numFmtId="0" fontId="19" fillId="0" borderId="0" xfId="0" applyFont="1"/>
    <xf numFmtId="0" fontId="8" fillId="5" borderId="6" xfId="0" applyFont="1" applyFill="1" applyBorder="1"/>
    <xf numFmtId="0" fontId="14" fillId="5" borderId="7" xfId="0" applyFont="1" applyFill="1" applyBorder="1"/>
    <xf numFmtId="0" fontId="14" fillId="5" borderId="8" xfId="0" applyFont="1" applyFill="1" applyBorder="1"/>
    <xf numFmtId="0" fontId="16" fillId="5" borderId="2" xfId="0" applyFont="1" applyFill="1" applyBorder="1"/>
    <xf numFmtId="0" fontId="14" fillId="5" borderId="0" xfId="0" applyFont="1" applyFill="1"/>
    <xf numFmtId="0" fontId="14" fillId="5" borderId="3" xfId="0" applyFont="1" applyFill="1" applyBorder="1"/>
    <xf numFmtId="0" fontId="13" fillId="5" borderId="2" xfId="0" applyFont="1" applyFill="1" applyBorder="1"/>
    <xf numFmtId="0" fontId="13" fillId="5" borderId="0" xfId="0" applyFont="1" applyFill="1" applyAlignment="1">
      <alignment horizontal="right"/>
    </xf>
    <xf numFmtId="0" fontId="13" fillId="5" borderId="3" xfId="0" applyFont="1" applyFill="1" applyBorder="1" applyAlignment="1">
      <alignment horizontal="right"/>
    </xf>
    <xf numFmtId="0" fontId="14" fillId="5" borderId="2" xfId="0" applyFont="1" applyFill="1" applyBorder="1"/>
    <xf numFmtId="42" fontId="14" fillId="5" borderId="3" xfId="0" applyNumberFormat="1" applyFont="1" applyFill="1" applyBorder="1"/>
    <xf numFmtId="0" fontId="14" fillId="5" borderId="4" xfId="0" applyFont="1" applyFill="1" applyBorder="1"/>
    <xf numFmtId="0" fontId="14" fillId="5" borderId="5" xfId="0" applyFont="1" applyFill="1" applyBorder="1"/>
    <xf numFmtId="4" fontId="14" fillId="5" borderId="0" xfId="0" applyNumberFormat="1" applyFont="1" applyFill="1" applyAlignment="1">
      <alignment horizontal="left"/>
    </xf>
    <xf numFmtId="4" fontId="14" fillId="5" borderId="1" xfId="0" applyNumberFormat="1" applyFont="1" applyFill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4" fontId="21" fillId="0" borderId="0" xfId="0" applyNumberFormat="1" applyFont="1"/>
    <xf numFmtId="0" fontId="21" fillId="0" borderId="0" xfId="0" quotePrefix="1" applyFont="1"/>
    <xf numFmtId="49" fontId="21" fillId="0" borderId="0" xfId="0" applyNumberFormat="1" applyFont="1" applyAlignment="1">
      <alignment horizontal="center"/>
    </xf>
    <xf numFmtId="49" fontId="21" fillId="0" borderId="0" xfId="0" quotePrefix="1" applyNumberFormat="1" applyFont="1" applyAlignment="1">
      <alignment horizontal="center"/>
    </xf>
    <xf numFmtId="38" fontId="15" fillId="0" borderId="3" xfId="0" applyNumberFormat="1" applyFont="1" applyBorder="1"/>
    <xf numFmtId="0" fontId="14" fillId="37" borderId="0" xfId="0" applyFont="1" applyFill="1"/>
    <xf numFmtId="0" fontId="16" fillId="37" borderId="2" xfId="0" applyFont="1" applyFill="1" applyBorder="1"/>
    <xf numFmtId="0" fontId="14" fillId="37" borderId="8" xfId="0" applyFont="1" applyFill="1" applyBorder="1"/>
    <xf numFmtId="0" fontId="14" fillId="37" borderId="7" xfId="0" applyFont="1" applyFill="1" applyBorder="1"/>
    <xf numFmtId="0" fontId="8" fillId="37" borderId="6" xfId="0" applyFont="1" applyFill="1" applyBorder="1"/>
    <xf numFmtId="0" fontId="16" fillId="0" borderId="0" xfId="0" applyFont="1"/>
    <xf numFmtId="38" fontId="14" fillId="0" borderId="3" xfId="0" applyNumberFormat="1" applyFont="1" applyBorder="1"/>
    <xf numFmtId="0" fontId="14" fillId="37" borderId="3" xfId="0" applyFont="1" applyFill="1" applyBorder="1"/>
    <xf numFmtId="0" fontId="13" fillId="37" borderId="2" xfId="0" applyFont="1" applyFill="1" applyBorder="1"/>
    <xf numFmtId="0" fontId="13" fillId="37" borderId="3" xfId="0" applyFont="1" applyFill="1" applyBorder="1" applyAlignment="1">
      <alignment horizontal="right"/>
    </xf>
    <xf numFmtId="0" fontId="14" fillId="37" borderId="2" xfId="0" applyFont="1" applyFill="1" applyBorder="1"/>
    <xf numFmtId="42" fontId="14" fillId="37" borderId="3" xfId="0" applyNumberFormat="1" applyFont="1" applyFill="1" applyBorder="1"/>
    <xf numFmtId="4" fontId="14" fillId="37" borderId="0" xfId="0" applyNumberFormat="1" applyFont="1" applyFill="1" applyAlignment="1">
      <alignment horizontal="left"/>
    </xf>
    <xf numFmtId="0" fontId="14" fillId="37" borderId="4" xfId="0" applyFont="1" applyFill="1" applyBorder="1"/>
    <xf numFmtId="4" fontId="14" fillId="37" borderId="1" xfId="0" applyNumberFormat="1" applyFont="1" applyFill="1" applyBorder="1" applyAlignment="1">
      <alignment horizontal="left"/>
    </xf>
    <xf numFmtId="0" fontId="14" fillId="37" borderId="5" xfId="0" applyFont="1" applyFill="1" applyBorder="1"/>
    <xf numFmtId="0" fontId="14" fillId="37" borderId="0" xfId="0" applyFont="1" applyFill="1" applyAlignment="1">
      <alignment horizontal="center"/>
    </xf>
    <xf numFmtId="0" fontId="13" fillId="37" borderId="0" xfId="0" applyFont="1" applyFill="1" applyAlignment="1">
      <alignment horizontal="center"/>
    </xf>
    <xf numFmtId="40" fontId="14" fillId="5" borderId="3" xfId="0" applyNumberFormat="1" applyFont="1" applyFill="1" applyBorder="1"/>
    <xf numFmtId="0" fontId="38" fillId="0" borderId="0" xfId="185"/>
    <xf numFmtId="0" fontId="15" fillId="0" borderId="0" xfId="185" applyFont="1"/>
    <xf numFmtId="0" fontId="14" fillId="0" borderId="6" xfId="185" applyFont="1" applyBorder="1"/>
    <xf numFmtId="0" fontId="16" fillId="0" borderId="7" xfId="185" applyFont="1" applyBorder="1" applyAlignment="1">
      <alignment horizontal="center"/>
    </xf>
    <xf numFmtId="0" fontId="16" fillId="0" borderId="8" xfId="185" applyFont="1" applyBorder="1" applyAlignment="1">
      <alignment horizontal="center"/>
    </xf>
    <xf numFmtId="0" fontId="14" fillId="0" borderId="2" xfId="185" applyFont="1" applyBorder="1"/>
    <xf numFmtId="3" fontId="14" fillId="0" borderId="0" xfId="185" applyNumberFormat="1" applyFont="1"/>
    <xf numFmtId="3" fontId="14" fillId="0" borderId="3" xfId="185" applyNumberFormat="1" applyFont="1" applyBorder="1"/>
    <xf numFmtId="3" fontId="15" fillId="0" borderId="0" xfId="185" applyNumberFormat="1" applyFont="1"/>
    <xf numFmtId="3" fontId="15" fillId="0" borderId="3" xfId="185" applyNumberFormat="1" applyFont="1" applyBorder="1"/>
    <xf numFmtId="0" fontId="14" fillId="0" borderId="4" xfId="185" applyFont="1" applyBorder="1"/>
    <xf numFmtId="3" fontId="14" fillId="0" borderId="1" xfId="185" applyNumberFormat="1" applyFont="1" applyBorder="1"/>
    <xf numFmtId="3" fontId="14" fillId="0" borderId="5" xfId="185" applyNumberFormat="1" applyFont="1" applyBorder="1"/>
    <xf numFmtId="40" fontId="14" fillId="37" borderId="3" xfId="0" applyNumberFormat="1" applyFont="1" applyFill="1" applyBorder="1"/>
    <xf numFmtId="0" fontId="13" fillId="5" borderId="4" xfId="132" applyFont="1" applyFill="1" applyBorder="1"/>
    <xf numFmtId="10" fontId="13" fillId="5" borderId="1" xfId="132" applyNumberFormat="1" applyFont="1" applyFill="1" applyBorder="1"/>
    <xf numFmtId="10" fontId="13" fillId="5" borderId="5" xfId="132" applyNumberFormat="1" applyFont="1" applyFill="1" applyBorder="1"/>
    <xf numFmtId="0" fontId="14" fillId="5" borderId="0" xfId="0" applyFont="1" applyFill="1" applyAlignment="1">
      <alignment horizontal="center"/>
    </xf>
    <xf numFmtId="0" fontId="8" fillId="38" borderId="6" xfId="0" applyFont="1" applyFill="1" applyBorder="1"/>
    <xf numFmtId="0" fontId="14" fillId="38" borderId="7" xfId="0" applyFont="1" applyFill="1" applyBorder="1"/>
    <xf numFmtId="0" fontId="14" fillId="38" borderId="8" xfId="0" applyFont="1" applyFill="1" applyBorder="1"/>
    <xf numFmtId="0" fontId="16" fillId="38" borderId="2" xfId="0" applyFont="1" applyFill="1" applyBorder="1"/>
    <xf numFmtId="0" fontId="14" fillId="38" borderId="0" xfId="0" applyFont="1" applyFill="1"/>
    <xf numFmtId="0" fontId="14" fillId="38" borderId="3" xfId="0" applyFont="1" applyFill="1" applyBorder="1"/>
    <xf numFmtId="0" fontId="13" fillId="38" borderId="2" xfId="0" applyFont="1" applyFill="1" applyBorder="1"/>
    <xf numFmtId="0" fontId="13" fillId="38" borderId="0" xfId="0" applyFont="1" applyFill="1" applyAlignment="1">
      <alignment horizontal="center"/>
    </xf>
    <xf numFmtId="0" fontId="13" fillId="38" borderId="3" xfId="0" applyFont="1" applyFill="1" applyBorder="1" applyAlignment="1">
      <alignment horizontal="right"/>
    </xf>
    <xf numFmtId="0" fontId="14" fillId="38" borderId="2" xfId="0" applyFont="1" applyFill="1" applyBorder="1"/>
    <xf numFmtId="0" fontId="14" fillId="38" borderId="0" xfId="0" applyFont="1" applyFill="1" applyAlignment="1">
      <alignment horizontal="center"/>
    </xf>
    <xf numFmtId="42" fontId="14" fillId="38" borderId="3" xfId="0" applyNumberFormat="1" applyFont="1" applyFill="1" applyBorder="1"/>
    <xf numFmtId="0" fontId="14" fillId="38" borderId="4" xfId="0" applyFont="1" applyFill="1" applyBorder="1"/>
    <xf numFmtId="0" fontId="14" fillId="38" borderId="5" xfId="0" applyFont="1" applyFill="1" applyBorder="1"/>
    <xf numFmtId="40" fontId="14" fillId="38" borderId="3" xfId="0" applyNumberFormat="1" applyFont="1" applyFill="1" applyBorder="1"/>
    <xf numFmtId="0" fontId="14" fillId="39" borderId="2" xfId="0" applyFont="1" applyFill="1" applyBorder="1"/>
    <xf numFmtId="3" fontId="14" fillId="39" borderId="0" xfId="0" applyNumberFormat="1" applyFont="1" applyFill="1"/>
    <xf numFmtId="0" fontId="14" fillId="39" borderId="3" xfId="0" applyFont="1" applyFill="1" applyBorder="1"/>
    <xf numFmtId="0" fontId="14" fillId="38" borderId="1" xfId="0" applyFont="1" applyFill="1" applyBorder="1"/>
    <xf numFmtId="0" fontId="14" fillId="0" borderId="7" xfId="0" applyFont="1" applyBorder="1"/>
    <xf numFmtId="42" fontId="15" fillId="0" borderId="3" xfId="0" applyNumberFormat="1" applyFont="1" applyBorder="1"/>
    <xf numFmtId="10" fontId="14" fillId="38" borderId="0" xfId="0" applyNumberFormat="1" applyFont="1" applyFill="1" applyAlignment="1">
      <alignment horizontal="center"/>
    </xf>
    <xf numFmtId="10" fontId="14" fillId="38" borderId="1" xfId="0" applyNumberFormat="1" applyFont="1" applyFill="1" applyBorder="1" applyAlignment="1">
      <alignment horizontal="center"/>
    </xf>
    <xf numFmtId="10" fontId="14" fillId="38" borderId="3" xfId="0" applyNumberFormat="1" applyFont="1" applyFill="1" applyBorder="1"/>
    <xf numFmtId="10" fontId="14" fillId="5" borderId="3" xfId="0" applyNumberFormat="1" applyFont="1" applyFill="1" applyBorder="1"/>
    <xf numFmtId="10" fontId="14" fillId="38" borderId="0" xfId="0" applyNumberFormat="1" applyFont="1" applyFill="1" applyAlignment="1">
      <alignment horizontal="left"/>
    </xf>
    <xf numFmtId="10" fontId="14" fillId="38" borderId="1" xfId="0" applyNumberFormat="1" applyFont="1" applyFill="1" applyBorder="1" applyAlignment="1">
      <alignment horizontal="left"/>
    </xf>
    <xf numFmtId="0" fontId="8" fillId="40" borderId="6" xfId="0" applyFont="1" applyFill="1" applyBorder="1"/>
    <xf numFmtId="0" fontId="14" fillId="40" borderId="7" xfId="0" applyFont="1" applyFill="1" applyBorder="1"/>
    <xf numFmtId="0" fontId="14" fillId="40" borderId="8" xfId="0" applyFont="1" applyFill="1" applyBorder="1"/>
    <xf numFmtId="0" fontId="16" fillId="40" borderId="2" xfId="0" applyFont="1" applyFill="1" applyBorder="1"/>
    <xf numFmtId="0" fontId="14" fillId="40" borderId="0" xfId="0" applyFont="1" applyFill="1"/>
    <xf numFmtId="0" fontId="14" fillId="40" borderId="3" xfId="0" applyFont="1" applyFill="1" applyBorder="1"/>
    <xf numFmtId="0" fontId="13" fillId="40" borderId="2" xfId="0" applyFont="1" applyFill="1" applyBorder="1"/>
    <xf numFmtId="0" fontId="13" fillId="40" borderId="0" xfId="0" applyFont="1" applyFill="1" applyAlignment="1">
      <alignment horizontal="center"/>
    </xf>
    <xf numFmtId="0" fontId="13" fillId="40" borderId="3" xfId="0" applyFont="1" applyFill="1" applyBorder="1" applyAlignment="1">
      <alignment horizontal="right"/>
    </xf>
    <xf numFmtId="0" fontId="14" fillId="40" borderId="2" xfId="0" applyFont="1" applyFill="1" applyBorder="1"/>
    <xf numFmtId="0" fontId="14" fillId="40" borderId="0" xfId="0" applyFont="1" applyFill="1" applyAlignment="1">
      <alignment horizontal="center"/>
    </xf>
    <xf numFmtId="10" fontId="14" fillId="40" borderId="3" xfId="0" applyNumberFormat="1" applyFont="1" applyFill="1" applyBorder="1"/>
    <xf numFmtId="42" fontId="14" fillId="40" borderId="3" xfId="0" applyNumberFormat="1" applyFont="1" applyFill="1" applyBorder="1"/>
    <xf numFmtId="10" fontId="14" fillId="40" borderId="0" xfId="0" applyNumberFormat="1" applyFont="1" applyFill="1" applyAlignment="1">
      <alignment horizontal="center"/>
    </xf>
    <xf numFmtId="0" fontId="14" fillId="40" borderId="1" xfId="0" applyFont="1" applyFill="1" applyBorder="1"/>
    <xf numFmtId="10" fontId="14" fillId="40" borderId="1" xfId="0" applyNumberFormat="1" applyFont="1" applyFill="1" applyBorder="1" applyAlignment="1">
      <alignment horizontal="center"/>
    </xf>
    <xf numFmtId="0" fontId="14" fillId="40" borderId="5" xfId="0" applyFont="1" applyFill="1" applyBorder="1"/>
    <xf numFmtId="0" fontId="45" fillId="0" borderId="0" xfId="0" applyFont="1"/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45" fillId="0" borderId="19" xfId="0" applyFont="1" applyBorder="1" applyAlignment="1">
      <alignment horizontal="center"/>
    </xf>
    <xf numFmtId="0" fontId="45" fillId="0" borderId="19" xfId="0" applyFont="1" applyBorder="1"/>
    <xf numFmtId="10" fontId="45" fillId="0" borderId="20" xfId="0" applyNumberFormat="1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1" xfId="0" applyFont="1" applyBorder="1"/>
    <xf numFmtId="10" fontId="45" fillId="0" borderId="22" xfId="0" applyNumberFormat="1" applyFont="1" applyBorder="1" applyAlignment="1">
      <alignment horizontal="center"/>
    </xf>
    <xf numFmtId="0" fontId="45" fillId="39" borderId="20" xfId="0" applyFont="1" applyFill="1" applyBorder="1" applyAlignment="1">
      <alignment horizontal="center"/>
    </xf>
    <xf numFmtId="0" fontId="45" fillId="39" borderId="22" xfId="0" applyFont="1" applyFill="1" applyBorder="1" applyAlignment="1">
      <alignment horizontal="center"/>
    </xf>
    <xf numFmtId="10" fontId="45" fillId="39" borderId="22" xfId="0" applyNumberFormat="1" applyFont="1" applyFill="1" applyBorder="1" applyAlignment="1">
      <alignment horizontal="center"/>
    </xf>
    <xf numFmtId="10" fontId="45" fillId="39" borderId="21" xfId="0" applyNumberFormat="1" applyFont="1" applyFill="1" applyBorder="1" applyAlignment="1">
      <alignment horizontal="center"/>
    </xf>
    <xf numFmtId="0" fontId="45" fillId="39" borderId="21" xfId="0" applyFont="1" applyFill="1" applyBorder="1" applyAlignment="1">
      <alignment horizontal="center"/>
    </xf>
    <xf numFmtId="0" fontId="45" fillId="39" borderId="23" xfId="0" applyFont="1" applyFill="1" applyBorder="1" applyAlignment="1">
      <alignment horizontal="center"/>
    </xf>
    <xf numFmtId="0" fontId="45" fillId="39" borderId="24" xfId="0" applyFont="1" applyFill="1" applyBorder="1" applyAlignment="1">
      <alignment horizontal="center"/>
    </xf>
    <xf numFmtId="0" fontId="46" fillId="39" borderId="22" xfId="0" applyFont="1" applyFill="1" applyBorder="1" applyAlignment="1">
      <alignment horizontal="center"/>
    </xf>
    <xf numFmtId="164" fontId="45" fillId="39" borderId="21" xfId="0" applyNumberFormat="1" applyFont="1" applyFill="1" applyBorder="1" applyAlignment="1">
      <alignment horizontal="right"/>
    </xf>
    <xf numFmtId="0" fontId="45" fillId="39" borderId="21" xfId="0" applyFont="1" applyFill="1" applyBorder="1"/>
    <xf numFmtId="0" fontId="45" fillId="0" borderId="0" xfId="0" applyFont="1" applyAlignment="1">
      <alignment horizontal="left"/>
    </xf>
    <xf numFmtId="0" fontId="45" fillId="0" borderId="26" xfId="0" applyFont="1" applyBorder="1"/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37" borderId="18" xfId="0" applyFont="1" applyFill="1" applyBorder="1" applyAlignment="1">
      <alignment horizontal="center" wrapText="1"/>
    </xf>
    <xf numFmtId="164" fontId="45" fillId="0" borderId="27" xfId="0" applyNumberFormat="1" applyFont="1" applyBorder="1" applyAlignment="1">
      <alignment horizontal="right"/>
    </xf>
    <xf numFmtId="164" fontId="45" fillId="39" borderId="28" xfId="0" applyNumberFormat="1" applyFont="1" applyFill="1" applyBorder="1" applyAlignment="1">
      <alignment horizontal="right"/>
    </xf>
    <xf numFmtId="164" fontId="45" fillId="0" borderId="28" xfId="0" applyNumberFormat="1" applyFont="1" applyBorder="1" applyAlignment="1">
      <alignment horizontal="right"/>
    </xf>
    <xf numFmtId="0" fontId="45" fillId="39" borderId="28" xfId="0" applyFont="1" applyFill="1" applyBorder="1" applyAlignment="1">
      <alignment horizontal="right"/>
    </xf>
    <xf numFmtId="0" fontId="45" fillId="39" borderId="29" xfId="0" applyFont="1" applyFill="1" applyBorder="1" applyAlignment="1">
      <alignment horizontal="right"/>
    </xf>
    <xf numFmtId="0" fontId="45" fillId="39" borderId="30" xfId="0" applyFont="1" applyFill="1" applyBorder="1" applyAlignment="1">
      <alignment horizontal="right"/>
    </xf>
    <xf numFmtId="0" fontId="45" fillId="41" borderId="31" xfId="0" applyFont="1" applyFill="1" applyBorder="1" applyAlignment="1">
      <alignment horizontal="center" wrapText="1"/>
    </xf>
    <xf numFmtId="10" fontId="45" fillId="41" borderId="32" xfId="0" applyNumberFormat="1" applyFont="1" applyFill="1" applyBorder="1" applyAlignment="1">
      <alignment horizontal="center"/>
    </xf>
    <xf numFmtId="10" fontId="45" fillId="41" borderId="26" xfId="0" applyNumberFormat="1" applyFont="1" applyFill="1" applyBorder="1" applyAlignment="1">
      <alignment horizontal="center"/>
    </xf>
    <xf numFmtId="0" fontId="45" fillId="37" borderId="6" xfId="0" applyFont="1" applyFill="1" applyBorder="1" applyAlignment="1">
      <alignment horizontal="center" wrapText="1"/>
    </xf>
    <xf numFmtId="37" fontId="15" fillId="0" borderId="3" xfId="0" applyNumberFormat="1" applyFont="1" applyBorder="1"/>
    <xf numFmtId="0" fontId="49" fillId="38" borderId="6" xfId="0" applyFont="1" applyFill="1" applyBorder="1"/>
    <xf numFmtId="0" fontId="49" fillId="42" borderId="6" xfId="0" applyFont="1" applyFill="1" applyBorder="1"/>
    <xf numFmtId="164" fontId="45" fillId="39" borderId="19" xfId="0" applyNumberFormat="1" applyFont="1" applyFill="1" applyBorder="1" applyAlignment="1">
      <alignment horizontal="right"/>
    </xf>
    <xf numFmtId="164" fontId="45" fillId="39" borderId="27" xfId="0" applyNumberFormat="1" applyFont="1" applyFill="1" applyBorder="1" applyAlignment="1">
      <alignment horizontal="right"/>
    </xf>
    <xf numFmtId="0" fontId="48" fillId="0" borderId="0" xfId="0" applyFont="1" applyAlignment="1">
      <alignment horizontal="center"/>
    </xf>
    <xf numFmtId="164" fontId="45" fillId="0" borderId="0" xfId="0" applyNumberFormat="1" applyFont="1" applyAlignment="1">
      <alignment horizontal="right"/>
    </xf>
    <xf numFmtId="10" fontId="45" fillId="43" borderId="22" xfId="0" applyNumberFormat="1" applyFont="1" applyFill="1" applyBorder="1" applyAlignment="1">
      <alignment horizontal="center"/>
    </xf>
    <xf numFmtId="0" fontId="45" fillId="43" borderId="22" xfId="0" applyFont="1" applyFill="1" applyBorder="1" applyAlignment="1">
      <alignment horizontal="center"/>
    </xf>
    <xf numFmtId="0" fontId="45" fillId="43" borderId="20" xfId="0" applyFont="1" applyFill="1" applyBorder="1" applyAlignment="1">
      <alignment horizontal="center"/>
    </xf>
    <xf numFmtId="10" fontId="45" fillId="43" borderId="21" xfId="0" applyNumberFormat="1" applyFont="1" applyFill="1" applyBorder="1" applyAlignment="1">
      <alignment horizontal="center"/>
    </xf>
    <xf numFmtId="0" fontId="45" fillId="43" borderId="21" xfId="0" applyFont="1" applyFill="1" applyBorder="1" applyAlignment="1">
      <alignment horizontal="center"/>
    </xf>
    <xf numFmtId="0" fontId="45" fillId="43" borderId="24" xfId="0" applyFont="1" applyFill="1" applyBorder="1" applyAlignment="1">
      <alignment horizontal="center"/>
    </xf>
    <xf numFmtId="0" fontId="46" fillId="43" borderId="22" xfId="0" applyFont="1" applyFill="1" applyBorder="1" applyAlignment="1">
      <alignment horizontal="center"/>
    </xf>
    <xf numFmtId="164" fontId="45" fillId="43" borderId="21" xfId="0" applyNumberFormat="1" applyFont="1" applyFill="1" applyBorder="1" applyAlignment="1">
      <alignment horizontal="right"/>
    </xf>
    <xf numFmtId="164" fontId="45" fillId="43" borderId="28" xfId="0" applyNumberFormat="1" applyFont="1" applyFill="1" applyBorder="1" applyAlignment="1">
      <alignment horizontal="right"/>
    </xf>
    <xf numFmtId="0" fontId="45" fillId="43" borderId="28" xfId="0" applyFont="1" applyFill="1" applyBorder="1" applyAlignment="1">
      <alignment horizontal="right"/>
    </xf>
    <xf numFmtId="0" fontId="45" fillId="43" borderId="30" xfId="0" applyFont="1" applyFill="1" applyBorder="1" applyAlignment="1">
      <alignment horizontal="right"/>
    </xf>
    <xf numFmtId="10" fontId="45" fillId="0" borderId="0" xfId="0" applyNumberFormat="1" applyFont="1" applyAlignment="1">
      <alignment horizontal="center"/>
    </xf>
    <xf numFmtId="0" fontId="48" fillId="0" borderId="0" xfId="0" applyFont="1"/>
    <xf numFmtId="0" fontId="45" fillId="43" borderId="21" xfId="0" applyFont="1" applyFill="1" applyBorder="1"/>
    <xf numFmtId="0" fontId="45" fillId="37" borderId="33" xfId="0" applyFont="1" applyFill="1" applyBorder="1" applyAlignment="1">
      <alignment horizontal="center" wrapText="1"/>
    </xf>
    <xf numFmtId="10" fontId="45" fillId="43" borderId="34" xfId="0" applyNumberFormat="1" applyFont="1" applyFill="1" applyBorder="1" applyAlignment="1">
      <alignment horizontal="center"/>
    </xf>
    <xf numFmtId="0" fontId="45" fillId="43" borderId="34" xfId="0" applyFont="1" applyFill="1" applyBorder="1" applyAlignment="1">
      <alignment horizontal="center"/>
    </xf>
    <xf numFmtId="0" fontId="45" fillId="43" borderId="35" xfId="0" applyFont="1" applyFill="1" applyBorder="1" applyAlignment="1">
      <alignment horizontal="center"/>
    </xf>
    <xf numFmtId="164" fontId="45" fillId="0" borderId="36" xfId="0" applyNumberFormat="1" applyFont="1" applyBorder="1" applyAlignment="1">
      <alignment horizontal="right"/>
    </xf>
    <xf numFmtId="164" fontId="45" fillId="0" borderId="34" xfId="0" applyNumberFormat="1" applyFont="1" applyBorder="1" applyAlignment="1">
      <alignment horizontal="right"/>
    </xf>
    <xf numFmtId="164" fontId="45" fillId="43" borderId="34" xfId="0" applyNumberFormat="1" applyFont="1" applyFill="1" applyBorder="1" applyAlignment="1">
      <alignment horizontal="right"/>
    </xf>
    <xf numFmtId="0" fontId="45" fillId="37" borderId="37" xfId="0" applyFont="1" applyFill="1" applyBorder="1" applyAlignment="1">
      <alignment horizontal="center" wrapText="1"/>
    </xf>
    <xf numFmtId="0" fontId="45" fillId="0" borderId="18" xfId="0" applyFont="1" applyBorder="1" applyAlignment="1">
      <alignment horizontal="center"/>
    </xf>
    <xf numFmtId="0" fontId="45" fillId="43" borderId="38" xfId="0" applyFont="1" applyFill="1" applyBorder="1" applyAlignment="1">
      <alignment horizontal="center"/>
    </xf>
    <xf numFmtId="0" fontId="14" fillId="0" borderId="37" xfId="0" applyFont="1" applyBorder="1"/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>
      <alignment wrapText="1"/>
    </xf>
    <xf numFmtId="10" fontId="14" fillId="0" borderId="37" xfId="0" applyNumberFormat="1" applyFont="1" applyBorder="1"/>
    <xf numFmtId="38" fontId="14" fillId="0" borderId="37" xfId="0" applyNumberFormat="1" applyFont="1" applyBorder="1"/>
    <xf numFmtId="10" fontId="50" fillId="0" borderId="37" xfId="0" applyNumberFormat="1" applyFont="1" applyBorder="1"/>
    <xf numFmtId="0" fontId="13" fillId="5" borderId="4" xfId="413" applyFont="1" applyFill="1" applyBorder="1"/>
    <xf numFmtId="10" fontId="13" fillId="5" borderId="1" xfId="413" applyNumberFormat="1" applyFont="1" applyFill="1" applyBorder="1"/>
    <xf numFmtId="10" fontId="13" fillId="5" borderId="5" xfId="413" applyNumberFormat="1" applyFont="1" applyFill="1" applyBorder="1"/>
    <xf numFmtId="0" fontId="38" fillId="0" borderId="0" xfId="0" applyFont="1" applyAlignment="1">
      <alignment horizontal="left" vertical="center" indent="2"/>
    </xf>
    <xf numFmtId="0" fontId="52" fillId="0" borderId="37" xfId="417" applyBorder="1" applyAlignment="1" applyProtection="1">
      <alignment wrapText="1"/>
    </xf>
    <xf numFmtId="38" fontId="14" fillId="0" borderId="0" xfId="0" applyNumberFormat="1" applyFont="1"/>
    <xf numFmtId="0" fontId="14" fillId="5" borderId="2" xfId="0" applyFont="1" applyFill="1" applyBorder="1" applyAlignment="1">
      <alignment wrapText="1"/>
    </xf>
    <xf numFmtId="0" fontId="6" fillId="0" borderId="21" xfId="0" applyFont="1" applyBorder="1"/>
    <xf numFmtId="10" fontId="45" fillId="0" borderId="39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37" borderId="6" xfId="0" applyFont="1" applyFill="1" applyBorder="1" applyAlignment="1">
      <alignment horizontal="center" wrapText="1"/>
    </xf>
    <xf numFmtId="0" fontId="6" fillId="37" borderId="18" xfId="0" applyFont="1" applyFill="1" applyBorder="1" applyAlignment="1">
      <alignment horizontal="center" wrapText="1"/>
    </xf>
    <xf numFmtId="10" fontId="45" fillId="43" borderId="28" xfId="0" applyNumberFormat="1" applyFont="1" applyFill="1" applyBorder="1" applyAlignment="1">
      <alignment horizontal="center"/>
    </xf>
    <xf numFmtId="9" fontId="53" fillId="45" borderId="0" xfId="794" applyFill="1"/>
    <xf numFmtId="0" fontId="53" fillId="44" borderId="0" xfId="795" applyFill="1"/>
    <xf numFmtId="0" fontId="48" fillId="44" borderId="0" xfId="795" applyFont="1" applyFill="1" applyAlignment="1">
      <alignment horizontal="center"/>
    </xf>
    <xf numFmtId="0" fontId="7" fillId="44" borderId="0" xfId="795" applyFont="1" applyFill="1" applyAlignment="1">
      <alignment horizontal="center"/>
    </xf>
    <xf numFmtId="0" fontId="7" fillId="44" borderId="0" xfId="795" applyFont="1" applyFill="1" applyAlignment="1">
      <alignment horizontal="center" wrapText="1"/>
    </xf>
    <xf numFmtId="9" fontId="7" fillId="45" borderId="0" xfId="794" applyFont="1" applyFill="1" applyAlignment="1">
      <alignment horizontal="center"/>
    </xf>
    <xf numFmtId="0" fontId="6" fillId="44" borderId="0" xfId="795" applyFont="1" applyFill="1" applyAlignment="1">
      <alignment horizontal="center"/>
    </xf>
    <xf numFmtId="0" fontId="6" fillId="44" borderId="0" xfId="795" applyFont="1" applyFill="1" applyAlignment="1">
      <alignment horizontal="center" wrapText="1"/>
    </xf>
    <xf numFmtId="9" fontId="6" fillId="45" borderId="0" xfId="794" applyFont="1" applyFill="1" applyAlignment="1">
      <alignment horizontal="center"/>
    </xf>
    <xf numFmtId="0" fontId="53" fillId="44" borderId="0" xfId="795" applyFill="1" applyAlignment="1">
      <alignment horizontal="center"/>
    </xf>
    <xf numFmtId="10" fontId="53" fillId="44" borderId="0" xfId="795" applyNumberFormat="1" applyFill="1"/>
    <xf numFmtId="165" fontId="53" fillId="0" borderId="0" xfId="795" applyNumberFormat="1"/>
    <xf numFmtId="10" fontId="53" fillId="0" borderId="0" xfId="795" applyNumberFormat="1"/>
    <xf numFmtId="166" fontId="53" fillId="44" borderId="0" xfId="795" applyNumberFormat="1" applyFill="1"/>
    <xf numFmtId="166" fontId="55" fillId="44" borderId="0" xfId="795" applyNumberFormat="1" applyFont="1" applyFill="1" applyAlignment="1">
      <alignment vertical="top"/>
    </xf>
    <xf numFmtId="166" fontId="56" fillId="44" borderId="0" xfId="795" applyNumberFormat="1" applyFont="1" applyFill="1" applyAlignment="1">
      <alignment vertical="top"/>
    </xf>
    <xf numFmtId="9" fontId="56" fillId="45" borderId="0" xfId="794" applyFont="1" applyFill="1" applyAlignment="1">
      <alignment vertical="top"/>
    </xf>
    <xf numFmtId="0" fontId="38" fillId="44" borderId="0" xfId="795" applyFont="1" applyFill="1"/>
    <xf numFmtId="165" fontId="38" fillId="44" borderId="0" xfId="795" applyNumberFormat="1" applyFont="1" applyFill="1"/>
    <xf numFmtId="9" fontId="38" fillId="45" borderId="0" xfId="794" applyFont="1" applyFill="1"/>
    <xf numFmtId="0" fontId="38" fillId="44" borderId="0" xfId="795" applyFont="1" applyFill="1" applyAlignment="1">
      <alignment horizontal="left" indent="2"/>
    </xf>
    <xf numFmtId="0" fontId="38" fillId="44" borderId="0" xfId="795" applyFont="1" applyFill="1" applyAlignment="1">
      <alignment horizontal="right"/>
    </xf>
    <xf numFmtId="49" fontId="38" fillId="44" borderId="0" xfId="795" applyNumberFormat="1" applyFont="1" applyFill="1" applyAlignment="1">
      <alignment horizontal="right"/>
    </xf>
    <xf numFmtId="167" fontId="38" fillId="44" borderId="0" xfId="795" applyNumberFormat="1" applyFont="1" applyFill="1" applyAlignment="1">
      <alignment horizontal="right"/>
    </xf>
    <xf numFmtId="9" fontId="38" fillId="45" borderId="0" xfId="794" applyFont="1" applyFill="1" applyAlignment="1">
      <alignment horizontal="right"/>
    </xf>
    <xf numFmtId="10" fontId="7" fillId="44" borderId="0" xfId="795" applyNumberFormat="1" applyFont="1" applyFill="1"/>
    <xf numFmtId="10" fontId="13" fillId="44" borderId="0" xfId="795" applyNumberFormat="1" applyFont="1" applyFill="1"/>
    <xf numFmtId="164" fontId="53" fillId="44" borderId="0" xfId="795" applyNumberFormat="1" applyFill="1"/>
    <xf numFmtId="164" fontId="53" fillId="0" borderId="0" xfId="795" applyNumberFormat="1"/>
    <xf numFmtId="0" fontId="0" fillId="44" borderId="0" xfId="0" applyFill="1"/>
    <xf numFmtId="0" fontId="38" fillId="44" borderId="40" xfId="795" applyFont="1" applyFill="1" applyBorder="1"/>
    <xf numFmtId="164" fontId="53" fillId="46" borderId="41" xfId="793" applyNumberFormat="1" applyFill="1" applyBorder="1" applyAlignment="1"/>
    <xf numFmtId="0" fontId="38" fillId="44" borderId="42" xfId="795" applyFont="1" applyFill="1" applyBorder="1"/>
    <xf numFmtId="0" fontId="7" fillId="44" borderId="42" xfId="795" applyFont="1" applyFill="1" applyBorder="1"/>
    <xf numFmtId="0" fontId="0" fillId="44" borderId="42" xfId="795" applyFont="1" applyFill="1" applyBorder="1"/>
    <xf numFmtId="0" fontId="38" fillId="44" borderId="43" xfId="795" applyFont="1" applyFill="1" applyBorder="1"/>
    <xf numFmtId="9" fontId="53" fillId="44" borderId="44" xfId="795" applyNumberFormat="1" applyFill="1" applyBorder="1"/>
    <xf numFmtId="0" fontId="57" fillId="44" borderId="0" xfId="796" applyFill="1" applyAlignment="1" applyProtection="1"/>
    <xf numFmtId="0" fontId="6" fillId="37" borderId="33" xfId="0" applyFont="1" applyFill="1" applyBorder="1" applyAlignment="1">
      <alignment horizontal="center" wrapText="1"/>
    </xf>
    <xf numFmtId="0" fontId="6" fillId="37" borderId="3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41" borderId="0" xfId="0" applyFont="1" applyFill="1" applyAlignment="1">
      <alignment horizontal="center" wrapText="1"/>
    </xf>
    <xf numFmtId="0" fontId="48" fillId="0" borderId="0" xfId="0" applyFont="1" applyAlignment="1">
      <alignment horizontal="center" wrapText="1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9" xfId="0" applyFont="1" applyBorder="1"/>
    <xf numFmtId="0" fontId="0" fillId="0" borderId="37" xfId="0" applyBorder="1"/>
    <xf numFmtId="10" fontId="0" fillId="0" borderId="37" xfId="0" applyNumberFormat="1" applyBorder="1"/>
    <xf numFmtId="164" fontId="0" fillId="0" borderId="37" xfId="0" applyNumberFormat="1" applyBorder="1"/>
    <xf numFmtId="0" fontId="52" fillId="0" borderId="0" xfId="417" applyAlignment="1" applyProtection="1"/>
    <xf numFmtId="0" fontId="13" fillId="0" borderId="4" xfId="413" applyFont="1" applyBorder="1"/>
    <xf numFmtId="10" fontId="13" fillId="0" borderId="1" xfId="413" applyNumberFormat="1" applyFont="1" applyBorder="1"/>
    <xf numFmtId="10" fontId="13" fillId="0" borderId="5" xfId="413" applyNumberFormat="1" applyFont="1" applyBorder="1"/>
    <xf numFmtId="0" fontId="13" fillId="0" borderId="2" xfId="0" applyFont="1" applyBorder="1"/>
    <xf numFmtId="3" fontId="13" fillId="0" borderId="0" xfId="0" applyNumberFormat="1" applyFont="1"/>
    <xf numFmtId="3" fontId="13" fillId="0" borderId="3" xfId="0" applyNumberFormat="1" applyFont="1" applyBorder="1"/>
    <xf numFmtId="0" fontId="60" fillId="0" borderId="0" xfId="185" applyFont="1"/>
    <xf numFmtId="0" fontId="60" fillId="0" borderId="0" xfId="0" applyFont="1"/>
    <xf numFmtId="10" fontId="38" fillId="44" borderId="0" xfId="795" applyNumberFormat="1" applyFont="1" applyFill="1"/>
    <xf numFmtId="10" fontId="38" fillId="44" borderId="0" xfId="795" applyNumberFormat="1" applyFont="1" applyFill="1" applyAlignment="1">
      <alignment wrapText="1"/>
    </xf>
    <xf numFmtId="164" fontId="38" fillId="44" borderId="0" xfId="795" applyNumberFormat="1" applyFont="1" applyFill="1"/>
    <xf numFmtId="0" fontId="54" fillId="44" borderId="0" xfId="795" applyFont="1" applyFill="1"/>
    <xf numFmtId="0" fontId="6" fillId="37" borderId="7" xfId="0" applyFont="1" applyFill="1" applyBorder="1" applyAlignment="1">
      <alignment horizontal="center" wrapText="1"/>
    </xf>
    <xf numFmtId="164" fontId="45" fillId="0" borderId="20" xfId="0" applyNumberFormat="1" applyFont="1" applyBorder="1" applyAlignment="1">
      <alignment horizontal="right"/>
    </xf>
    <xf numFmtId="164" fontId="45" fillId="43" borderId="22" xfId="0" applyNumberFormat="1" applyFont="1" applyFill="1" applyBorder="1" applyAlignment="1">
      <alignment horizontal="right"/>
    </xf>
    <xf numFmtId="0" fontId="45" fillId="43" borderId="22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164" fontId="6" fillId="0" borderId="34" xfId="0" applyNumberFormat="1" applyFont="1" applyBorder="1" applyAlignment="1">
      <alignment horizontal="right"/>
    </xf>
    <xf numFmtId="0" fontId="61" fillId="0" borderId="47" xfId="0" applyFont="1" applyBorder="1" applyAlignment="1">
      <alignment horizontal="center"/>
    </xf>
    <xf numFmtId="0" fontId="38" fillId="0" borderId="0" xfId="0" applyFont="1"/>
    <xf numFmtId="0" fontId="48" fillId="0" borderId="0" xfId="103" applyFont="1" applyAlignment="1">
      <alignment horizontal="center"/>
    </xf>
    <xf numFmtId="0" fontId="6" fillId="0" borderId="0" xfId="103" applyFont="1" applyAlignment="1">
      <alignment horizontal="center"/>
    </xf>
    <xf numFmtId="0" fontId="6" fillId="0" borderId="0" xfId="103" applyFont="1"/>
    <xf numFmtId="0" fontId="13" fillId="0" borderId="0" xfId="103" applyFont="1" applyAlignment="1">
      <alignment horizontal="center" wrapText="1"/>
    </xf>
    <xf numFmtId="0" fontId="6" fillId="0" borderId="0" xfId="103" applyFont="1" applyAlignment="1">
      <alignment horizontal="center" wrapText="1"/>
    </xf>
    <xf numFmtId="0" fontId="13" fillId="0" borderId="0" xfId="103" applyFont="1" applyAlignment="1">
      <alignment wrapText="1"/>
    </xf>
    <xf numFmtId="0" fontId="59" fillId="0" borderId="0" xfId="103" applyFont="1" applyAlignment="1">
      <alignment horizontal="center" wrapText="1"/>
    </xf>
    <xf numFmtId="0" fontId="59" fillId="37" borderId="18" xfId="103" applyFont="1" applyFill="1" applyBorder="1" applyAlignment="1">
      <alignment horizontal="center" wrapText="1"/>
    </xf>
    <xf numFmtId="0" fontId="59" fillId="41" borderId="0" xfId="103" applyFont="1" applyFill="1" applyAlignment="1">
      <alignment horizontal="center" wrapText="1"/>
    </xf>
    <xf numFmtId="0" fontId="6" fillId="0" borderId="0" xfId="103" applyFont="1" applyAlignment="1">
      <alignment wrapText="1"/>
    </xf>
    <xf numFmtId="0" fontId="6" fillId="0" borderId="21" xfId="103" applyFont="1" applyBorder="1" applyAlignment="1">
      <alignment horizontal="center"/>
    </xf>
    <xf numFmtId="0" fontId="6" fillId="0" borderId="21" xfId="103" applyFont="1" applyBorder="1"/>
    <xf numFmtId="0" fontId="6" fillId="43" borderId="21" xfId="103" applyFont="1" applyFill="1" applyBorder="1" applyAlignment="1">
      <alignment horizontal="center"/>
    </xf>
    <xf numFmtId="10" fontId="6" fillId="0" borderId="22" xfId="103" applyNumberFormat="1" applyFont="1" applyBorder="1" applyAlignment="1">
      <alignment horizontal="center"/>
    </xf>
    <xf numFmtId="0" fontId="6" fillId="0" borderId="47" xfId="103" applyFont="1" applyBorder="1" applyAlignment="1">
      <alignment horizontal="center"/>
    </xf>
    <xf numFmtId="0" fontId="6" fillId="0" borderId="48" xfId="103" applyFont="1" applyBorder="1" applyAlignment="1">
      <alignment horizontal="center"/>
    </xf>
    <xf numFmtId="0" fontId="60" fillId="0" borderId="0" xfId="103" applyFont="1"/>
    <xf numFmtId="0" fontId="14" fillId="0" borderId="0" xfId="103" applyFont="1"/>
    <xf numFmtId="0" fontId="14" fillId="0" borderId="6" xfId="103" applyFont="1" applyBorder="1"/>
    <xf numFmtId="0" fontId="16" fillId="0" borderId="7" xfId="103" applyFont="1" applyBorder="1" applyAlignment="1">
      <alignment horizontal="center"/>
    </xf>
    <xf numFmtId="0" fontId="16" fillId="0" borderId="8" xfId="103" applyFont="1" applyBorder="1" applyAlignment="1">
      <alignment horizontal="center"/>
    </xf>
    <xf numFmtId="0" fontId="14" fillId="0" borderId="2" xfId="103" applyFont="1" applyBorder="1"/>
    <xf numFmtId="3" fontId="14" fillId="0" borderId="0" xfId="103" applyNumberFormat="1" applyFont="1"/>
    <xf numFmtId="3" fontId="14" fillId="0" borderId="3" xfId="103" applyNumberFormat="1" applyFont="1" applyBorder="1"/>
    <xf numFmtId="0" fontId="6" fillId="43" borderId="21" xfId="103" applyFont="1" applyFill="1" applyBorder="1"/>
    <xf numFmtId="0" fontId="13" fillId="0" borderId="2" xfId="103" applyFont="1" applyBorder="1"/>
    <xf numFmtId="3" fontId="13" fillId="0" borderId="0" xfId="103" applyNumberFormat="1" applyFont="1"/>
    <xf numFmtId="3" fontId="13" fillId="0" borderId="3" xfId="103" applyNumberFormat="1" applyFont="1" applyBorder="1"/>
    <xf numFmtId="0" fontId="6" fillId="0" borderId="22" xfId="103" applyFont="1" applyBorder="1" applyAlignment="1">
      <alignment horizontal="center"/>
    </xf>
    <xf numFmtId="0" fontId="6" fillId="0" borderId="0" xfId="103" applyFont="1" applyAlignment="1">
      <alignment horizontal="left"/>
    </xf>
    <xf numFmtId="0" fontId="38" fillId="0" borderId="0" xfId="103" applyAlignment="1">
      <alignment horizontal="left" vertical="center" indent="2"/>
    </xf>
    <xf numFmtId="0" fontId="38" fillId="0" borderId="0" xfId="103"/>
    <xf numFmtId="0" fontId="16" fillId="0" borderId="0" xfId="103" applyFont="1" applyAlignment="1">
      <alignment horizontal="center"/>
    </xf>
    <xf numFmtId="0" fontId="14" fillId="0" borderId="0" xfId="185" applyFont="1"/>
    <xf numFmtId="0" fontId="13" fillId="0" borderId="0" xfId="103" applyFont="1"/>
    <xf numFmtId="0" fontId="13" fillId="0" borderId="0" xfId="413" applyFont="1"/>
    <xf numFmtId="10" fontId="13" fillId="0" borderId="0" xfId="413" applyNumberFormat="1" applyFont="1"/>
    <xf numFmtId="10" fontId="6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43" borderId="20" xfId="0" applyFont="1" applyFill="1" applyBorder="1" applyAlignment="1">
      <alignment horizontal="center"/>
    </xf>
    <xf numFmtId="164" fontId="6" fillId="0" borderId="27" xfId="0" applyNumberFormat="1" applyFont="1" applyBorder="1" applyAlignment="1">
      <alignment horizontal="right"/>
    </xf>
    <xf numFmtId="164" fontId="6" fillId="0" borderId="36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18" xfId="0" applyFont="1" applyBorder="1" applyAlignment="1">
      <alignment horizontal="center"/>
    </xf>
    <xf numFmtId="10" fontId="6" fillId="0" borderId="22" xfId="0" applyNumberFormat="1" applyFont="1" applyBorder="1" applyAlignment="1">
      <alignment horizontal="center"/>
    </xf>
    <xf numFmtId="10" fontId="6" fillId="43" borderId="22" xfId="0" applyNumberFormat="1" applyFont="1" applyFill="1" applyBorder="1" applyAlignment="1">
      <alignment horizontal="center"/>
    </xf>
    <xf numFmtId="0" fontId="6" fillId="43" borderId="22" xfId="0" applyFont="1" applyFill="1" applyBorder="1" applyAlignment="1">
      <alignment horizontal="center"/>
    </xf>
    <xf numFmtId="164" fontId="6" fillId="43" borderId="28" xfId="0" applyNumberFormat="1" applyFont="1" applyFill="1" applyBorder="1" applyAlignment="1">
      <alignment horizontal="right"/>
    </xf>
    <xf numFmtId="0" fontId="6" fillId="43" borderId="21" xfId="0" applyFont="1" applyFill="1" applyBorder="1" applyAlignment="1">
      <alignment horizontal="center"/>
    </xf>
    <xf numFmtId="164" fontId="6" fillId="43" borderId="34" xfId="0" applyNumberFormat="1" applyFont="1" applyFill="1" applyBorder="1" applyAlignment="1">
      <alignment horizontal="right"/>
    </xf>
    <xf numFmtId="0" fontId="6" fillId="43" borderId="21" xfId="0" applyFont="1" applyFill="1" applyBorder="1"/>
    <xf numFmtId="10" fontId="6" fillId="43" borderId="21" xfId="0" applyNumberFormat="1" applyFont="1" applyFill="1" applyBorder="1" applyAlignment="1">
      <alignment horizontal="center"/>
    </xf>
    <xf numFmtId="164" fontId="6" fillId="43" borderId="21" xfId="0" applyNumberFormat="1" applyFont="1" applyFill="1" applyBorder="1" applyAlignment="1">
      <alignment horizontal="right"/>
    </xf>
    <xf numFmtId="10" fontId="6" fillId="0" borderId="0" xfId="0" applyNumberFormat="1" applyFont="1" applyAlignment="1">
      <alignment horizontal="center"/>
    </xf>
    <xf numFmtId="0" fontId="6" fillId="43" borderId="28" xfId="0" applyFont="1" applyFill="1" applyBorder="1" applyAlignment="1">
      <alignment horizontal="right"/>
    </xf>
    <xf numFmtId="0" fontId="6" fillId="0" borderId="26" xfId="0" applyFont="1" applyBorder="1"/>
    <xf numFmtId="0" fontId="6" fillId="0" borderId="25" xfId="0" applyFont="1" applyBorder="1" applyAlignment="1">
      <alignment horizontal="center"/>
    </xf>
    <xf numFmtId="0" fontId="6" fillId="43" borderId="24" xfId="0" applyFont="1" applyFill="1" applyBorder="1" applyAlignment="1">
      <alignment horizontal="center"/>
    </xf>
    <xf numFmtId="0" fontId="6" fillId="43" borderId="3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44" fontId="0" fillId="40" borderId="1" xfId="797" applyFont="1" applyFill="1" applyBorder="1"/>
    <xf numFmtId="44" fontId="0" fillId="0" borderId="1" xfId="797" applyFont="1" applyFill="1" applyBorder="1"/>
    <xf numFmtId="0" fontId="48" fillId="0" borderId="40" xfId="0" applyFont="1" applyBorder="1"/>
    <xf numFmtId="0" fontId="0" fillId="0" borderId="41" xfId="0" applyBorder="1"/>
    <xf numFmtId="0" fontId="0" fillId="0" borderId="51" xfId="0" applyBorder="1"/>
    <xf numFmtId="0" fontId="0" fillId="0" borderId="42" xfId="0" applyBorder="1"/>
    <xf numFmtId="0" fontId="0" fillId="0" borderId="52" xfId="0" applyBorder="1"/>
    <xf numFmtId="0" fontId="0" fillId="40" borderId="0" xfId="0" applyFill="1"/>
    <xf numFmtId="44" fontId="0" fillId="40" borderId="0" xfId="797" applyFont="1" applyFill="1" applyBorder="1"/>
    <xf numFmtId="10" fontId="0" fillId="0" borderId="0" xfId="794" applyNumberFormat="1" applyFont="1" applyBorder="1"/>
    <xf numFmtId="0" fontId="0" fillId="0" borderId="43" xfId="0" applyBorder="1"/>
    <xf numFmtId="44" fontId="0" fillId="0" borderId="44" xfId="797" applyFont="1" applyBorder="1"/>
    <xf numFmtId="0" fontId="0" fillId="0" borderId="53" xfId="0" applyBorder="1"/>
    <xf numFmtId="10" fontId="0" fillId="0" borderId="1" xfId="794" applyNumberFormat="1" applyFont="1" applyBorder="1"/>
    <xf numFmtId="44" fontId="0" fillId="0" borderId="0" xfId="797" applyFont="1" applyFill="1" applyBorder="1"/>
    <xf numFmtId="10" fontId="0" fillId="40" borderId="0" xfId="794" applyNumberFormat="1" applyFont="1" applyFill="1" applyBorder="1"/>
    <xf numFmtId="44" fontId="0" fillId="40" borderId="44" xfId="797" applyFont="1" applyFill="1" applyBorder="1"/>
    <xf numFmtId="0" fontId="38" fillId="0" borderId="53" xfId="0" applyFont="1" applyBorder="1"/>
    <xf numFmtId="0" fontId="48" fillId="0" borderId="1" xfId="0" applyFont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59" fillId="0" borderId="0" xfId="0" applyFont="1" applyAlignment="1">
      <alignment horizontal="center" wrapText="1"/>
    </xf>
    <xf numFmtId="0" fontId="38" fillId="0" borderId="4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2" xfId="0" applyBorder="1" applyAlignment="1">
      <alignment horizontal="left" wrapText="1"/>
    </xf>
    <xf numFmtId="0" fontId="38" fillId="0" borderId="0" xfId="0" applyFont="1" applyAlignment="1">
      <alignment horizontal="left" wrapText="1"/>
    </xf>
    <xf numFmtId="0" fontId="38" fillId="0" borderId="52" xfId="0" applyFont="1" applyBorder="1" applyAlignment="1">
      <alignment horizontal="left" wrapText="1"/>
    </xf>
    <xf numFmtId="0" fontId="48" fillId="0" borderId="0" xfId="103" applyFont="1" applyAlignment="1">
      <alignment horizontal="center"/>
    </xf>
    <xf numFmtId="0" fontId="13" fillId="0" borderId="0" xfId="103" applyFont="1" applyAlignment="1">
      <alignment horizontal="center" wrapText="1"/>
    </xf>
    <xf numFmtId="0" fontId="54" fillId="44" borderId="0" xfId="795" applyFont="1" applyFill="1" applyAlignment="1">
      <alignment horizontal="center"/>
    </xf>
    <xf numFmtId="0" fontId="53" fillId="44" borderId="0" xfId="795" applyFill="1" applyAlignment="1">
      <alignment horizontal="center"/>
    </xf>
    <xf numFmtId="0" fontId="53" fillId="44" borderId="0" xfId="795" applyFill="1" applyAlignment="1">
      <alignment horizontal="center" wrapText="1"/>
    </xf>
    <xf numFmtId="0" fontId="0" fillId="44" borderId="0" xfId="0" applyFill="1" applyAlignment="1">
      <alignment wrapText="1"/>
    </xf>
    <xf numFmtId="0" fontId="53" fillId="0" borderId="0" xfId="795" applyAlignment="1">
      <alignment horizontal="center" wrapText="1"/>
    </xf>
    <xf numFmtId="0" fontId="0" fillId="0" borderId="0" xfId="0" applyAlignment="1">
      <alignment wrapText="1"/>
    </xf>
    <xf numFmtId="0" fontId="53" fillId="44" borderId="0" xfId="795" applyFill="1" applyAlignment="1">
      <alignment wrapText="1"/>
    </xf>
    <xf numFmtId="10" fontId="0" fillId="0" borderId="44" xfId="0" applyNumberFormat="1" applyBorder="1"/>
  </cellXfs>
  <cellStyles count="798">
    <cellStyle name="20% - Accent1" xfId="18" builtinId="30" customBuiltin="1"/>
    <cellStyle name="20% - Accent1 10" xfId="281" xr:uid="{00000000-0005-0000-0000-000001000000}"/>
    <cellStyle name="20% - Accent1 10 2" xfId="540" xr:uid="{00000000-0005-0000-0000-000002000000}"/>
    <cellStyle name="20% - Accent1 11" xfId="419" xr:uid="{00000000-0005-0000-0000-000003000000}"/>
    <cellStyle name="20% - Accent1 2" xfId="49" xr:uid="{00000000-0005-0000-0000-000004000000}"/>
    <cellStyle name="20% - Accent1 2 2" xfId="165" xr:uid="{00000000-0005-0000-0000-000005000000}"/>
    <cellStyle name="20% - Accent1 2 2 2" xfId="541" xr:uid="{00000000-0005-0000-0000-000006000000}"/>
    <cellStyle name="20% - Accent1 2 3" xfId="253" xr:uid="{00000000-0005-0000-0000-000007000000}"/>
    <cellStyle name="20% - Accent1 2 3 2" xfId="542" xr:uid="{00000000-0005-0000-0000-000008000000}"/>
    <cellStyle name="20% - Accent1 2 4" xfId="336" xr:uid="{00000000-0005-0000-0000-000009000000}"/>
    <cellStyle name="20% - Accent1 2 4 2" xfId="543" xr:uid="{00000000-0005-0000-0000-00000A000000}"/>
    <cellStyle name="20% - Accent1 2 5" xfId="436" xr:uid="{00000000-0005-0000-0000-00000B000000}"/>
    <cellStyle name="20% - Accent1 3" xfId="60" xr:uid="{00000000-0005-0000-0000-00000C000000}"/>
    <cellStyle name="20% - Accent1 3 2" xfId="176" xr:uid="{00000000-0005-0000-0000-00000D000000}"/>
    <cellStyle name="20% - Accent1 3 2 2" xfId="544" xr:uid="{00000000-0005-0000-0000-00000E000000}"/>
    <cellStyle name="20% - Accent1 3 3" xfId="264" xr:uid="{00000000-0005-0000-0000-00000F000000}"/>
    <cellStyle name="20% - Accent1 3 3 2" xfId="545" xr:uid="{00000000-0005-0000-0000-000010000000}"/>
    <cellStyle name="20% - Accent1 3 4" xfId="347" xr:uid="{00000000-0005-0000-0000-000011000000}"/>
    <cellStyle name="20% - Accent1 3 4 2" xfId="546" xr:uid="{00000000-0005-0000-0000-000012000000}"/>
    <cellStyle name="20% - Accent1 3 5" xfId="447" xr:uid="{00000000-0005-0000-0000-000013000000}"/>
    <cellStyle name="20% - Accent1 4" xfId="59" xr:uid="{00000000-0005-0000-0000-000014000000}"/>
    <cellStyle name="20% - Accent1 4 2" xfId="175" xr:uid="{00000000-0005-0000-0000-000015000000}"/>
    <cellStyle name="20% - Accent1 4 2 2" xfId="547" xr:uid="{00000000-0005-0000-0000-000016000000}"/>
    <cellStyle name="20% - Accent1 4 3" xfId="263" xr:uid="{00000000-0005-0000-0000-000017000000}"/>
    <cellStyle name="20% - Accent1 4 3 2" xfId="548" xr:uid="{00000000-0005-0000-0000-000018000000}"/>
    <cellStyle name="20% - Accent1 4 4" xfId="346" xr:uid="{00000000-0005-0000-0000-000019000000}"/>
    <cellStyle name="20% - Accent1 4 4 2" xfId="549" xr:uid="{00000000-0005-0000-0000-00001A000000}"/>
    <cellStyle name="20% - Accent1 4 5" xfId="446" xr:uid="{00000000-0005-0000-0000-00001B000000}"/>
    <cellStyle name="20% - Accent1 5" xfId="90" xr:uid="{00000000-0005-0000-0000-00001C000000}"/>
    <cellStyle name="20% - Accent1 5 2" xfId="204" xr:uid="{00000000-0005-0000-0000-00001D000000}"/>
    <cellStyle name="20% - Accent1 5 2 2" xfId="550" xr:uid="{00000000-0005-0000-0000-00001E000000}"/>
    <cellStyle name="20% - Accent1 5 3" xfId="290" xr:uid="{00000000-0005-0000-0000-00001F000000}"/>
    <cellStyle name="20% - Accent1 5 3 2" xfId="551" xr:uid="{00000000-0005-0000-0000-000020000000}"/>
    <cellStyle name="20% - Accent1 5 4" xfId="372" xr:uid="{00000000-0005-0000-0000-000021000000}"/>
    <cellStyle name="20% - Accent1 5 4 2" xfId="552" xr:uid="{00000000-0005-0000-0000-000022000000}"/>
    <cellStyle name="20% - Accent1 5 5" xfId="472" xr:uid="{00000000-0005-0000-0000-000023000000}"/>
    <cellStyle name="20% - Accent1 6" xfId="104" xr:uid="{00000000-0005-0000-0000-000024000000}"/>
    <cellStyle name="20% - Accent1 6 2" xfId="217" xr:uid="{00000000-0005-0000-0000-000025000000}"/>
    <cellStyle name="20% - Accent1 6 2 2" xfId="553" xr:uid="{00000000-0005-0000-0000-000026000000}"/>
    <cellStyle name="20% - Accent1 6 3" xfId="303" xr:uid="{00000000-0005-0000-0000-000027000000}"/>
    <cellStyle name="20% - Accent1 6 3 2" xfId="554" xr:uid="{00000000-0005-0000-0000-000028000000}"/>
    <cellStyle name="20% - Accent1 6 4" xfId="385" xr:uid="{00000000-0005-0000-0000-000029000000}"/>
    <cellStyle name="20% - Accent1 6 4 2" xfId="555" xr:uid="{00000000-0005-0000-0000-00002A000000}"/>
    <cellStyle name="20% - Accent1 6 5" xfId="485" xr:uid="{00000000-0005-0000-0000-00002B000000}"/>
    <cellStyle name="20% - Accent1 7" xfId="120" xr:uid="{00000000-0005-0000-0000-00002C000000}"/>
    <cellStyle name="20% - Accent1 7 2" xfId="232" xr:uid="{00000000-0005-0000-0000-00002D000000}"/>
    <cellStyle name="20% - Accent1 7 2 2" xfId="556" xr:uid="{00000000-0005-0000-0000-00002E000000}"/>
    <cellStyle name="20% - Accent1 7 3" xfId="317" xr:uid="{00000000-0005-0000-0000-00002F000000}"/>
    <cellStyle name="20% - Accent1 7 3 2" xfId="557" xr:uid="{00000000-0005-0000-0000-000030000000}"/>
    <cellStyle name="20% - Accent1 7 4" xfId="399" xr:uid="{00000000-0005-0000-0000-000031000000}"/>
    <cellStyle name="20% - Accent1 7 4 2" xfId="558" xr:uid="{00000000-0005-0000-0000-000032000000}"/>
    <cellStyle name="20% - Accent1 7 5" xfId="500" xr:uid="{00000000-0005-0000-0000-000033000000}"/>
    <cellStyle name="20% - Accent1 8" xfId="138" xr:uid="{00000000-0005-0000-0000-000034000000}"/>
    <cellStyle name="20% - Accent1 8 2" xfId="515" xr:uid="{00000000-0005-0000-0000-000035000000}"/>
    <cellStyle name="20% - Accent1 9" xfId="202" xr:uid="{00000000-0005-0000-0000-000036000000}"/>
    <cellStyle name="20% - Accent1 9 2" xfId="528" xr:uid="{00000000-0005-0000-0000-000037000000}"/>
    <cellStyle name="20% - Accent2" xfId="22" builtinId="34" customBuiltin="1"/>
    <cellStyle name="20% - Accent2 10" xfId="159" xr:uid="{00000000-0005-0000-0000-000039000000}"/>
    <cellStyle name="20% - Accent2 10 2" xfId="559" xr:uid="{00000000-0005-0000-0000-00003A000000}"/>
    <cellStyle name="20% - Accent2 11" xfId="421" xr:uid="{00000000-0005-0000-0000-00003B000000}"/>
    <cellStyle name="20% - Accent2 2" xfId="53" xr:uid="{00000000-0005-0000-0000-00003C000000}"/>
    <cellStyle name="20% - Accent2 2 2" xfId="169" xr:uid="{00000000-0005-0000-0000-00003D000000}"/>
    <cellStyle name="20% - Accent2 2 2 2" xfId="560" xr:uid="{00000000-0005-0000-0000-00003E000000}"/>
    <cellStyle name="20% - Accent2 2 3" xfId="257" xr:uid="{00000000-0005-0000-0000-00003F000000}"/>
    <cellStyle name="20% - Accent2 2 3 2" xfId="561" xr:uid="{00000000-0005-0000-0000-000040000000}"/>
    <cellStyle name="20% - Accent2 2 4" xfId="340" xr:uid="{00000000-0005-0000-0000-000041000000}"/>
    <cellStyle name="20% - Accent2 2 4 2" xfId="562" xr:uid="{00000000-0005-0000-0000-000042000000}"/>
    <cellStyle name="20% - Accent2 2 5" xfId="440" xr:uid="{00000000-0005-0000-0000-000043000000}"/>
    <cellStyle name="20% - Accent2 3" xfId="68" xr:uid="{00000000-0005-0000-0000-000044000000}"/>
    <cellStyle name="20% - Accent2 3 2" xfId="184" xr:uid="{00000000-0005-0000-0000-000045000000}"/>
    <cellStyle name="20% - Accent2 3 2 2" xfId="563" xr:uid="{00000000-0005-0000-0000-000046000000}"/>
    <cellStyle name="20% - Accent2 3 3" xfId="272" xr:uid="{00000000-0005-0000-0000-000047000000}"/>
    <cellStyle name="20% - Accent2 3 3 2" xfId="564" xr:uid="{00000000-0005-0000-0000-000048000000}"/>
    <cellStyle name="20% - Accent2 3 4" xfId="355" xr:uid="{00000000-0005-0000-0000-000049000000}"/>
    <cellStyle name="20% - Accent2 3 4 2" xfId="565" xr:uid="{00000000-0005-0000-0000-00004A000000}"/>
    <cellStyle name="20% - Accent2 3 5" xfId="455" xr:uid="{00000000-0005-0000-0000-00004B000000}"/>
    <cellStyle name="20% - Accent2 4" xfId="75" xr:uid="{00000000-0005-0000-0000-00004C000000}"/>
    <cellStyle name="20% - Accent2 4 2" xfId="191" xr:uid="{00000000-0005-0000-0000-00004D000000}"/>
    <cellStyle name="20% - Accent2 4 2 2" xfId="566" xr:uid="{00000000-0005-0000-0000-00004E000000}"/>
    <cellStyle name="20% - Accent2 4 3" xfId="278" xr:uid="{00000000-0005-0000-0000-00004F000000}"/>
    <cellStyle name="20% - Accent2 4 3 2" xfId="567" xr:uid="{00000000-0005-0000-0000-000050000000}"/>
    <cellStyle name="20% - Accent2 4 4" xfId="361" xr:uid="{00000000-0005-0000-0000-000051000000}"/>
    <cellStyle name="20% - Accent2 4 4 2" xfId="568" xr:uid="{00000000-0005-0000-0000-000052000000}"/>
    <cellStyle name="20% - Accent2 4 5" xfId="461" xr:uid="{00000000-0005-0000-0000-000053000000}"/>
    <cellStyle name="20% - Accent2 5" xfId="92" xr:uid="{00000000-0005-0000-0000-000054000000}"/>
    <cellStyle name="20% - Accent2 5 2" xfId="206" xr:uid="{00000000-0005-0000-0000-000055000000}"/>
    <cellStyle name="20% - Accent2 5 2 2" xfId="569" xr:uid="{00000000-0005-0000-0000-000056000000}"/>
    <cellStyle name="20% - Accent2 5 3" xfId="292" xr:uid="{00000000-0005-0000-0000-000057000000}"/>
    <cellStyle name="20% - Accent2 5 3 2" xfId="570" xr:uid="{00000000-0005-0000-0000-000058000000}"/>
    <cellStyle name="20% - Accent2 5 4" xfId="374" xr:uid="{00000000-0005-0000-0000-000059000000}"/>
    <cellStyle name="20% - Accent2 5 4 2" xfId="571" xr:uid="{00000000-0005-0000-0000-00005A000000}"/>
    <cellStyle name="20% - Accent2 5 5" xfId="474" xr:uid="{00000000-0005-0000-0000-00005B000000}"/>
    <cellStyle name="20% - Accent2 6" xfId="106" xr:uid="{00000000-0005-0000-0000-00005C000000}"/>
    <cellStyle name="20% - Accent2 6 2" xfId="219" xr:uid="{00000000-0005-0000-0000-00005D000000}"/>
    <cellStyle name="20% - Accent2 6 2 2" xfId="572" xr:uid="{00000000-0005-0000-0000-00005E000000}"/>
    <cellStyle name="20% - Accent2 6 3" xfId="305" xr:uid="{00000000-0005-0000-0000-00005F000000}"/>
    <cellStyle name="20% - Accent2 6 3 2" xfId="573" xr:uid="{00000000-0005-0000-0000-000060000000}"/>
    <cellStyle name="20% - Accent2 6 4" xfId="387" xr:uid="{00000000-0005-0000-0000-000061000000}"/>
    <cellStyle name="20% - Accent2 6 4 2" xfId="574" xr:uid="{00000000-0005-0000-0000-000062000000}"/>
    <cellStyle name="20% - Accent2 6 5" xfId="487" xr:uid="{00000000-0005-0000-0000-000063000000}"/>
    <cellStyle name="20% - Accent2 7" xfId="122" xr:uid="{00000000-0005-0000-0000-000064000000}"/>
    <cellStyle name="20% - Accent2 7 2" xfId="234" xr:uid="{00000000-0005-0000-0000-000065000000}"/>
    <cellStyle name="20% - Accent2 7 2 2" xfId="575" xr:uid="{00000000-0005-0000-0000-000066000000}"/>
    <cellStyle name="20% - Accent2 7 3" xfId="319" xr:uid="{00000000-0005-0000-0000-000067000000}"/>
    <cellStyle name="20% - Accent2 7 3 2" xfId="576" xr:uid="{00000000-0005-0000-0000-000068000000}"/>
    <cellStyle name="20% - Accent2 7 4" xfId="401" xr:uid="{00000000-0005-0000-0000-000069000000}"/>
    <cellStyle name="20% - Accent2 7 4 2" xfId="577" xr:uid="{00000000-0005-0000-0000-00006A000000}"/>
    <cellStyle name="20% - Accent2 7 5" xfId="502" xr:uid="{00000000-0005-0000-0000-00006B000000}"/>
    <cellStyle name="20% - Accent2 8" xfId="142" xr:uid="{00000000-0005-0000-0000-00006C000000}"/>
    <cellStyle name="20% - Accent2 8 2" xfId="518" xr:uid="{00000000-0005-0000-0000-00006D000000}"/>
    <cellStyle name="20% - Accent2 9" xfId="136" xr:uid="{00000000-0005-0000-0000-00006E000000}"/>
    <cellStyle name="20% - Accent2 9 2" xfId="517" xr:uid="{00000000-0005-0000-0000-00006F000000}"/>
    <cellStyle name="20% - Accent3" xfId="26" builtinId="38" customBuiltin="1"/>
    <cellStyle name="20% - Accent3 10" xfId="141" xr:uid="{00000000-0005-0000-0000-000071000000}"/>
    <cellStyle name="20% - Accent3 10 2" xfId="578" xr:uid="{00000000-0005-0000-0000-000072000000}"/>
    <cellStyle name="20% - Accent3 11" xfId="423" xr:uid="{00000000-0005-0000-0000-000073000000}"/>
    <cellStyle name="20% - Accent3 2" xfId="57" xr:uid="{00000000-0005-0000-0000-000074000000}"/>
    <cellStyle name="20% - Accent3 2 2" xfId="173" xr:uid="{00000000-0005-0000-0000-000075000000}"/>
    <cellStyle name="20% - Accent3 2 2 2" xfId="579" xr:uid="{00000000-0005-0000-0000-000076000000}"/>
    <cellStyle name="20% - Accent3 2 3" xfId="261" xr:uid="{00000000-0005-0000-0000-000077000000}"/>
    <cellStyle name="20% - Accent3 2 3 2" xfId="580" xr:uid="{00000000-0005-0000-0000-000078000000}"/>
    <cellStyle name="20% - Accent3 2 4" xfId="344" xr:uid="{00000000-0005-0000-0000-000079000000}"/>
    <cellStyle name="20% - Accent3 2 4 2" xfId="581" xr:uid="{00000000-0005-0000-0000-00007A000000}"/>
    <cellStyle name="20% - Accent3 2 5" xfId="444" xr:uid="{00000000-0005-0000-0000-00007B000000}"/>
    <cellStyle name="20% - Accent3 3" xfId="55" xr:uid="{00000000-0005-0000-0000-00007C000000}"/>
    <cellStyle name="20% - Accent3 3 2" xfId="171" xr:uid="{00000000-0005-0000-0000-00007D000000}"/>
    <cellStyle name="20% - Accent3 3 2 2" xfId="582" xr:uid="{00000000-0005-0000-0000-00007E000000}"/>
    <cellStyle name="20% - Accent3 3 3" xfId="259" xr:uid="{00000000-0005-0000-0000-00007F000000}"/>
    <cellStyle name="20% - Accent3 3 3 2" xfId="583" xr:uid="{00000000-0005-0000-0000-000080000000}"/>
    <cellStyle name="20% - Accent3 3 4" xfId="342" xr:uid="{00000000-0005-0000-0000-000081000000}"/>
    <cellStyle name="20% - Accent3 3 4 2" xfId="584" xr:uid="{00000000-0005-0000-0000-000082000000}"/>
    <cellStyle name="20% - Accent3 3 5" xfId="442" xr:uid="{00000000-0005-0000-0000-000083000000}"/>
    <cellStyle name="20% - Accent3 4" xfId="52" xr:uid="{00000000-0005-0000-0000-000084000000}"/>
    <cellStyle name="20% - Accent3 4 2" xfId="168" xr:uid="{00000000-0005-0000-0000-000085000000}"/>
    <cellStyle name="20% - Accent3 4 2 2" xfId="585" xr:uid="{00000000-0005-0000-0000-000086000000}"/>
    <cellStyle name="20% - Accent3 4 3" xfId="256" xr:uid="{00000000-0005-0000-0000-000087000000}"/>
    <cellStyle name="20% - Accent3 4 3 2" xfId="586" xr:uid="{00000000-0005-0000-0000-000088000000}"/>
    <cellStyle name="20% - Accent3 4 4" xfId="339" xr:uid="{00000000-0005-0000-0000-000089000000}"/>
    <cellStyle name="20% - Accent3 4 4 2" xfId="587" xr:uid="{00000000-0005-0000-0000-00008A000000}"/>
    <cellStyle name="20% - Accent3 4 5" xfId="439" xr:uid="{00000000-0005-0000-0000-00008B000000}"/>
    <cellStyle name="20% - Accent3 5" xfId="94" xr:uid="{00000000-0005-0000-0000-00008C000000}"/>
    <cellStyle name="20% - Accent3 5 2" xfId="208" xr:uid="{00000000-0005-0000-0000-00008D000000}"/>
    <cellStyle name="20% - Accent3 5 2 2" xfId="588" xr:uid="{00000000-0005-0000-0000-00008E000000}"/>
    <cellStyle name="20% - Accent3 5 3" xfId="294" xr:uid="{00000000-0005-0000-0000-00008F000000}"/>
    <cellStyle name="20% - Accent3 5 3 2" xfId="589" xr:uid="{00000000-0005-0000-0000-000090000000}"/>
    <cellStyle name="20% - Accent3 5 4" xfId="376" xr:uid="{00000000-0005-0000-0000-000091000000}"/>
    <cellStyle name="20% - Accent3 5 4 2" xfId="590" xr:uid="{00000000-0005-0000-0000-000092000000}"/>
    <cellStyle name="20% - Accent3 5 5" xfId="476" xr:uid="{00000000-0005-0000-0000-000093000000}"/>
    <cellStyle name="20% - Accent3 6" xfId="108" xr:uid="{00000000-0005-0000-0000-000094000000}"/>
    <cellStyle name="20% - Accent3 6 2" xfId="221" xr:uid="{00000000-0005-0000-0000-000095000000}"/>
    <cellStyle name="20% - Accent3 6 2 2" xfId="591" xr:uid="{00000000-0005-0000-0000-000096000000}"/>
    <cellStyle name="20% - Accent3 6 3" xfId="307" xr:uid="{00000000-0005-0000-0000-000097000000}"/>
    <cellStyle name="20% - Accent3 6 3 2" xfId="592" xr:uid="{00000000-0005-0000-0000-000098000000}"/>
    <cellStyle name="20% - Accent3 6 4" xfId="389" xr:uid="{00000000-0005-0000-0000-000099000000}"/>
    <cellStyle name="20% - Accent3 6 4 2" xfId="593" xr:uid="{00000000-0005-0000-0000-00009A000000}"/>
    <cellStyle name="20% - Accent3 6 5" xfId="489" xr:uid="{00000000-0005-0000-0000-00009B000000}"/>
    <cellStyle name="20% - Accent3 7" xfId="124" xr:uid="{00000000-0005-0000-0000-00009C000000}"/>
    <cellStyle name="20% - Accent3 7 2" xfId="236" xr:uid="{00000000-0005-0000-0000-00009D000000}"/>
    <cellStyle name="20% - Accent3 7 2 2" xfId="594" xr:uid="{00000000-0005-0000-0000-00009E000000}"/>
    <cellStyle name="20% - Accent3 7 3" xfId="321" xr:uid="{00000000-0005-0000-0000-00009F000000}"/>
    <cellStyle name="20% - Accent3 7 3 2" xfId="595" xr:uid="{00000000-0005-0000-0000-0000A0000000}"/>
    <cellStyle name="20% - Accent3 7 4" xfId="403" xr:uid="{00000000-0005-0000-0000-0000A1000000}"/>
    <cellStyle name="20% - Accent3 7 4 2" xfId="596" xr:uid="{00000000-0005-0000-0000-0000A2000000}"/>
    <cellStyle name="20% - Accent3 7 5" xfId="504" xr:uid="{00000000-0005-0000-0000-0000A3000000}"/>
    <cellStyle name="20% - Accent3 8" xfId="145" xr:uid="{00000000-0005-0000-0000-0000A4000000}"/>
    <cellStyle name="20% - Accent3 8 2" xfId="521" xr:uid="{00000000-0005-0000-0000-0000A5000000}"/>
    <cellStyle name="20% - Accent3 9" xfId="151" xr:uid="{00000000-0005-0000-0000-0000A6000000}"/>
    <cellStyle name="20% - Accent3 9 2" xfId="532" xr:uid="{00000000-0005-0000-0000-0000A7000000}"/>
    <cellStyle name="20% - Accent4" xfId="30" builtinId="42" customBuiltin="1"/>
    <cellStyle name="20% - Accent4 10" xfId="246" xr:uid="{00000000-0005-0000-0000-0000A9000000}"/>
    <cellStyle name="20% - Accent4 10 2" xfId="597" xr:uid="{00000000-0005-0000-0000-0000AA000000}"/>
    <cellStyle name="20% - Accent4 11" xfId="425" xr:uid="{00000000-0005-0000-0000-0000AB000000}"/>
    <cellStyle name="20% - Accent4 2" xfId="61" xr:uid="{00000000-0005-0000-0000-0000AC000000}"/>
    <cellStyle name="20% - Accent4 2 2" xfId="177" xr:uid="{00000000-0005-0000-0000-0000AD000000}"/>
    <cellStyle name="20% - Accent4 2 2 2" xfId="598" xr:uid="{00000000-0005-0000-0000-0000AE000000}"/>
    <cellStyle name="20% - Accent4 2 3" xfId="265" xr:uid="{00000000-0005-0000-0000-0000AF000000}"/>
    <cellStyle name="20% - Accent4 2 3 2" xfId="599" xr:uid="{00000000-0005-0000-0000-0000B0000000}"/>
    <cellStyle name="20% - Accent4 2 4" xfId="348" xr:uid="{00000000-0005-0000-0000-0000B1000000}"/>
    <cellStyle name="20% - Accent4 2 4 2" xfId="600" xr:uid="{00000000-0005-0000-0000-0000B2000000}"/>
    <cellStyle name="20% - Accent4 2 5" xfId="448" xr:uid="{00000000-0005-0000-0000-0000B3000000}"/>
    <cellStyle name="20% - Accent4 3" xfId="70" xr:uid="{00000000-0005-0000-0000-0000B4000000}"/>
    <cellStyle name="20% - Accent4 3 2" xfId="186" xr:uid="{00000000-0005-0000-0000-0000B5000000}"/>
    <cellStyle name="20% - Accent4 3 2 2" xfId="601" xr:uid="{00000000-0005-0000-0000-0000B6000000}"/>
    <cellStyle name="20% - Accent4 3 3" xfId="273" xr:uid="{00000000-0005-0000-0000-0000B7000000}"/>
    <cellStyle name="20% - Accent4 3 3 2" xfId="602" xr:uid="{00000000-0005-0000-0000-0000B8000000}"/>
    <cellStyle name="20% - Accent4 3 4" xfId="356" xr:uid="{00000000-0005-0000-0000-0000B9000000}"/>
    <cellStyle name="20% - Accent4 3 4 2" xfId="603" xr:uid="{00000000-0005-0000-0000-0000BA000000}"/>
    <cellStyle name="20% - Accent4 3 5" xfId="456" xr:uid="{00000000-0005-0000-0000-0000BB000000}"/>
    <cellStyle name="20% - Accent4 4" xfId="81" xr:uid="{00000000-0005-0000-0000-0000BC000000}"/>
    <cellStyle name="20% - Accent4 4 2" xfId="196" xr:uid="{00000000-0005-0000-0000-0000BD000000}"/>
    <cellStyle name="20% - Accent4 4 2 2" xfId="604" xr:uid="{00000000-0005-0000-0000-0000BE000000}"/>
    <cellStyle name="20% - Accent4 4 3" xfId="283" xr:uid="{00000000-0005-0000-0000-0000BF000000}"/>
    <cellStyle name="20% - Accent4 4 3 2" xfId="605" xr:uid="{00000000-0005-0000-0000-0000C0000000}"/>
    <cellStyle name="20% - Accent4 4 4" xfId="365" xr:uid="{00000000-0005-0000-0000-0000C1000000}"/>
    <cellStyle name="20% - Accent4 4 4 2" xfId="606" xr:uid="{00000000-0005-0000-0000-0000C2000000}"/>
    <cellStyle name="20% - Accent4 4 5" xfId="465" xr:uid="{00000000-0005-0000-0000-0000C3000000}"/>
    <cellStyle name="20% - Accent4 5" xfId="96" xr:uid="{00000000-0005-0000-0000-0000C4000000}"/>
    <cellStyle name="20% - Accent4 5 2" xfId="210" xr:uid="{00000000-0005-0000-0000-0000C5000000}"/>
    <cellStyle name="20% - Accent4 5 2 2" xfId="607" xr:uid="{00000000-0005-0000-0000-0000C6000000}"/>
    <cellStyle name="20% - Accent4 5 3" xfId="296" xr:uid="{00000000-0005-0000-0000-0000C7000000}"/>
    <cellStyle name="20% - Accent4 5 3 2" xfId="608" xr:uid="{00000000-0005-0000-0000-0000C8000000}"/>
    <cellStyle name="20% - Accent4 5 4" xfId="378" xr:uid="{00000000-0005-0000-0000-0000C9000000}"/>
    <cellStyle name="20% - Accent4 5 4 2" xfId="609" xr:uid="{00000000-0005-0000-0000-0000CA000000}"/>
    <cellStyle name="20% - Accent4 5 5" xfId="478" xr:uid="{00000000-0005-0000-0000-0000CB000000}"/>
    <cellStyle name="20% - Accent4 6" xfId="110" xr:uid="{00000000-0005-0000-0000-0000CC000000}"/>
    <cellStyle name="20% - Accent4 6 2" xfId="223" xr:uid="{00000000-0005-0000-0000-0000CD000000}"/>
    <cellStyle name="20% - Accent4 6 2 2" xfId="610" xr:uid="{00000000-0005-0000-0000-0000CE000000}"/>
    <cellStyle name="20% - Accent4 6 3" xfId="309" xr:uid="{00000000-0005-0000-0000-0000CF000000}"/>
    <cellStyle name="20% - Accent4 6 3 2" xfId="611" xr:uid="{00000000-0005-0000-0000-0000D0000000}"/>
    <cellStyle name="20% - Accent4 6 4" xfId="391" xr:uid="{00000000-0005-0000-0000-0000D1000000}"/>
    <cellStyle name="20% - Accent4 6 4 2" xfId="612" xr:uid="{00000000-0005-0000-0000-0000D2000000}"/>
    <cellStyle name="20% - Accent4 6 5" xfId="491" xr:uid="{00000000-0005-0000-0000-0000D3000000}"/>
    <cellStyle name="20% - Accent4 7" xfId="126" xr:uid="{00000000-0005-0000-0000-0000D4000000}"/>
    <cellStyle name="20% - Accent4 7 2" xfId="238" xr:uid="{00000000-0005-0000-0000-0000D5000000}"/>
    <cellStyle name="20% - Accent4 7 2 2" xfId="613" xr:uid="{00000000-0005-0000-0000-0000D6000000}"/>
    <cellStyle name="20% - Accent4 7 3" xfId="323" xr:uid="{00000000-0005-0000-0000-0000D7000000}"/>
    <cellStyle name="20% - Accent4 7 3 2" xfId="614" xr:uid="{00000000-0005-0000-0000-0000D8000000}"/>
    <cellStyle name="20% - Accent4 7 4" xfId="405" xr:uid="{00000000-0005-0000-0000-0000D9000000}"/>
    <cellStyle name="20% - Accent4 7 4 2" xfId="615" xr:uid="{00000000-0005-0000-0000-0000DA000000}"/>
    <cellStyle name="20% - Accent4 7 5" xfId="506" xr:uid="{00000000-0005-0000-0000-0000DB000000}"/>
    <cellStyle name="20% - Accent4 8" xfId="149" xr:uid="{00000000-0005-0000-0000-0000DC000000}"/>
    <cellStyle name="20% - Accent4 8 2" xfId="523" xr:uid="{00000000-0005-0000-0000-0000DD000000}"/>
    <cellStyle name="20% - Accent4 9" xfId="137" xr:uid="{00000000-0005-0000-0000-0000DE000000}"/>
    <cellStyle name="20% - Accent4 9 2" xfId="534" xr:uid="{00000000-0005-0000-0000-0000DF000000}"/>
    <cellStyle name="20% - Accent5" xfId="34" builtinId="46" customBuiltin="1"/>
    <cellStyle name="20% - Accent5 10" xfId="134" xr:uid="{00000000-0005-0000-0000-0000E1000000}"/>
    <cellStyle name="20% - Accent5 10 2" xfId="616" xr:uid="{00000000-0005-0000-0000-0000E2000000}"/>
    <cellStyle name="20% - Accent5 11" xfId="427" xr:uid="{00000000-0005-0000-0000-0000E3000000}"/>
    <cellStyle name="20% - Accent5 2" xfId="63" xr:uid="{00000000-0005-0000-0000-0000E4000000}"/>
    <cellStyle name="20% - Accent5 2 2" xfId="179" xr:uid="{00000000-0005-0000-0000-0000E5000000}"/>
    <cellStyle name="20% - Accent5 2 2 2" xfId="617" xr:uid="{00000000-0005-0000-0000-0000E6000000}"/>
    <cellStyle name="20% - Accent5 2 3" xfId="267" xr:uid="{00000000-0005-0000-0000-0000E7000000}"/>
    <cellStyle name="20% - Accent5 2 3 2" xfId="618" xr:uid="{00000000-0005-0000-0000-0000E8000000}"/>
    <cellStyle name="20% - Accent5 2 4" xfId="350" xr:uid="{00000000-0005-0000-0000-0000E9000000}"/>
    <cellStyle name="20% - Accent5 2 4 2" xfId="619" xr:uid="{00000000-0005-0000-0000-0000EA000000}"/>
    <cellStyle name="20% - Accent5 2 5" xfId="450" xr:uid="{00000000-0005-0000-0000-0000EB000000}"/>
    <cellStyle name="20% - Accent5 3" xfId="73" xr:uid="{00000000-0005-0000-0000-0000EC000000}"/>
    <cellStyle name="20% - Accent5 3 2" xfId="189" xr:uid="{00000000-0005-0000-0000-0000ED000000}"/>
    <cellStyle name="20% - Accent5 3 2 2" xfId="620" xr:uid="{00000000-0005-0000-0000-0000EE000000}"/>
    <cellStyle name="20% - Accent5 3 3" xfId="276" xr:uid="{00000000-0005-0000-0000-0000EF000000}"/>
    <cellStyle name="20% - Accent5 3 3 2" xfId="621" xr:uid="{00000000-0005-0000-0000-0000F0000000}"/>
    <cellStyle name="20% - Accent5 3 4" xfId="359" xr:uid="{00000000-0005-0000-0000-0000F1000000}"/>
    <cellStyle name="20% - Accent5 3 4 2" xfId="622" xr:uid="{00000000-0005-0000-0000-0000F2000000}"/>
    <cellStyle name="20% - Accent5 3 5" xfId="459" xr:uid="{00000000-0005-0000-0000-0000F3000000}"/>
    <cellStyle name="20% - Accent5 4" xfId="83" xr:uid="{00000000-0005-0000-0000-0000F4000000}"/>
    <cellStyle name="20% - Accent5 4 2" xfId="198" xr:uid="{00000000-0005-0000-0000-0000F5000000}"/>
    <cellStyle name="20% - Accent5 4 2 2" xfId="623" xr:uid="{00000000-0005-0000-0000-0000F6000000}"/>
    <cellStyle name="20% - Accent5 4 3" xfId="285" xr:uid="{00000000-0005-0000-0000-0000F7000000}"/>
    <cellStyle name="20% - Accent5 4 3 2" xfId="624" xr:uid="{00000000-0005-0000-0000-0000F8000000}"/>
    <cellStyle name="20% - Accent5 4 4" xfId="367" xr:uid="{00000000-0005-0000-0000-0000F9000000}"/>
    <cellStyle name="20% - Accent5 4 4 2" xfId="625" xr:uid="{00000000-0005-0000-0000-0000FA000000}"/>
    <cellStyle name="20% - Accent5 4 5" xfId="467" xr:uid="{00000000-0005-0000-0000-0000FB000000}"/>
    <cellStyle name="20% - Accent5 5" xfId="98" xr:uid="{00000000-0005-0000-0000-0000FC000000}"/>
    <cellStyle name="20% - Accent5 5 2" xfId="212" xr:uid="{00000000-0005-0000-0000-0000FD000000}"/>
    <cellStyle name="20% - Accent5 5 2 2" xfId="626" xr:uid="{00000000-0005-0000-0000-0000FE000000}"/>
    <cellStyle name="20% - Accent5 5 3" xfId="298" xr:uid="{00000000-0005-0000-0000-0000FF000000}"/>
    <cellStyle name="20% - Accent5 5 3 2" xfId="627" xr:uid="{00000000-0005-0000-0000-000000010000}"/>
    <cellStyle name="20% - Accent5 5 4" xfId="380" xr:uid="{00000000-0005-0000-0000-000001010000}"/>
    <cellStyle name="20% - Accent5 5 4 2" xfId="628" xr:uid="{00000000-0005-0000-0000-000002010000}"/>
    <cellStyle name="20% - Accent5 5 5" xfId="480" xr:uid="{00000000-0005-0000-0000-000003010000}"/>
    <cellStyle name="20% - Accent5 6" xfId="112" xr:uid="{00000000-0005-0000-0000-000004010000}"/>
    <cellStyle name="20% - Accent5 6 2" xfId="225" xr:uid="{00000000-0005-0000-0000-000005010000}"/>
    <cellStyle name="20% - Accent5 6 2 2" xfId="629" xr:uid="{00000000-0005-0000-0000-000006010000}"/>
    <cellStyle name="20% - Accent5 6 3" xfId="311" xr:uid="{00000000-0005-0000-0000-000007010000}"/>
    <cellStyle name="20% - Accent5 6 3 2" xfId="630" xr:uid="{00000000-0005-0000-0000-000008010000}"/>
    <cellStyle name="20% - Accent5 6 4" xfId="393" xr:uid="{00000000-0005-0000-0000-000009010000}"/>
    <cellStyle name="20% - Accent5 6 4 2" xfId="631" xr:uid="{00000000-0005-0000-0000-00000A010000}"/>
    <cellStyle name="20% - Accent5 6 5" xfId="493" xr:uid="{00000000-0005-0000-0000-00000B010000}"/>
    <cellStyle name="20% - Accent5 7" xfId="128" xr:uid="{00000000-0005-0000-0000-00000C010000}"/>
    <cellStyle name="20% - Accent5 7 2" xfId="240" xr:uid="{00000000-0005-0000-0000-00000D010000}"/>
    <cellStyle name="20% - Accent5 7 2 2" xfId="632" xr:uid="{00000000-0005-0000-0000-00000E010000}"/>
    <cellStyle name="20% - Accent5 7 3" xfId="325" xr:uid="{00000000-0005-0000-0000-00000F010000}"/>
    <cellStyle name="20% - Accent5 7 3 2" xfId="633" xr:uid="{00000000-0005-0000-0000-000010010000}"/>
    <cellStyle name="20% - Accent5 7 4" xfId="407" xr:uid="{00000000-0005-0000-0000-000011010000}"/>
    <cellStyle name="20% - Accent5 7 4 2" xfId="634" xr:uid="{00000000-0005-0000-0000-000012010000}"/>
    <cellStyle name="20% - Accent5 7 5" xfId="508" xr:uid="{00000000-0005-0000-0000-000013010000}"/>
    <cellStyle name="20% - Accent5 8" xfId="152" xr:uid="{00000000-0005-0000-0000-000014010000}"/>
    <cellStyle name="20% - Accent5 8 2" xfId="526" xr:uid="{00000000-0005-0000-0000-000015010000}"/>
    <cellStyle name="20% - Accent5 9" xfId="147" xr:uid="{00000000-0005-0000-0000-000016010000}"/>
    <cellStyle name="20% - Accent5 9 2" xfId="536" xr:uid="{00000000-0005-0000-0000-000017010000}"/>
    <cellStyle name="20% - Accent6" xfId="38" builtinId="50" customBuiltin="1"/>
    <cellStyle name="20% - Accent6 10" xfId="329" xr:uid="{00000000-0005-0000-0000-000019010000}"/>
    <cellStyle name="20% - Accent6 10 2" xfId="635" xr:uid="{00000000-0005-0000-0000-00001A010000}"/>
    <cellStyle name="20% - Accent6 11" xfId="429" xr:uid="{00000000-0005-0000-0000-00001B010000}"/>
    <cellStyle name="20% - Accent6 2" xfId="66" xr:uid="{00000000-0005-0000-0000-00001C010000}"/>
    <cellStyle name="20% - Accent6 2 2" xfId="182" xr:uid="{00000000-0005-0000-0000-00001D010000}"/>
    <cellStyle name="20% - Accent6 2 2 2" xfId="636" xr:uid="{00000000-0005-0000-0000-00001E010000}"/>
    <cellStyle name="20% - Accent6 2 3" xfId="270" xr:uid="{00000000-0005-0000-0000-00001F010000}"/>
    <cellStyle name="20% - Accent6 2 3 2" xfId="637" xr:uid="{00000000-0005-0000-0000-000020010000}"/>
    <cellStyle name="20% - Accent6 2 4" xfId="353" xr:uid="{00000000-0005-0000-0000-000021010000}"/>
    <cellStyle name="20% - Accent6 2 4 2" xfId="638" xr:uid="{00000000-0005-0000-0000-000022010000}"/>
    <cellStyle name="20% - Accent6 2 5" xfId="453" xr:uid="{00000000-0005-0000-0000-000023010000}"/>
    <cellStyle name="20% - Accent6 3" xfId="76" xr:uid="{00000000-0005-0000-0000-000024010000}"/>
    <cellStyle name="20% - Accent6 3 2" xfId="192" xr:uid="{00000000-0005-0000-0000-000025010000}"/>
    <cellStyle name="20% - Accent6 3 2 2" xfId="639" xr:uid="{00000000-0005-0000-0000-000026010000}"/>
    <cellStyle name="20% - Accent6 3 3" xfId="279" xr:uid="{00000000-0005-0000-0000-000027010000}"/>
    <cellStyle name="20% - Accent6 3 3 2" xfId="640" xr:uid="{00000000-0005-0000-0000-000028010000}"/>
    <cellStyle name="20% - Accent6 3 4" xfId="362" xr:uid="{00000000-0005-0000-0000-000029010000}"/>
    <cellStyle name="20% - Accent6 3 4 2" xfId="641" xr:uid="{00000000-0005-0000-0000-00002A010000}"/>
    <cellStyle name="20% - Accent6 3 5" xfId="462" xr:uid="{00000000-0005-0000-0000-00002B010000}"/>
    <cellStyle name="20% - Accent6 4" xfId="85" xr:uid="{00000000-0005-0000-0000-00002C010000}"/>
    <cellStyle name="20% - Accent6 4 2" xfId="200" xr:uid="{00000000-0005-0000-0000-00002D010000}"/>
    <cellStyle name="20% - Accent6 4 2 2" xfId="642" xr:uid="{00000000-0005-0000-0000-00002E010000}"/>
    <cellStyle name="20% - Accent6 4 3" xfId="287" xr:uid="{00000000-0005-0000-0000-00002F010000}"/>
    <cellStyle name="20% - Accent6 4 3 2" xfId="643" xr:uid="{00000000-0005-0000-0000-000030010000}"/>
    <cellStyle name="20% - Accent6 4 4" xfId="369" xr:uid="{00000000-0005-0000-0000-000031010000}"/>
    <cellStyle name="20% - Accent6 4 4 2" xfId="644" xr:uid="{00000000-0005-0000-0000-000032010000}"/>
    <cellStyle name="20% - Accent6 4 5" xfId="469" xr:uid="{00000000-0005-0000-0000-000033010000}"/>
    <cellStyle name="20% - Accent6 5" xfId="100" xr:uid="{00000000-0005-0000-0000-000034010000}"/>
    <cellStyle name="20% - Accent6 5 2" xfId="214" xr:uid="{00000000-0005-0000-0000-000035010000}"/>
    <cellStyle name="20% - Accent6 5 2 2" xfId="645" xr:uid="{00000000-0005-0000-0000-000036010000}"/>
    <cellStyle name="20% - Accent6 5 3" xfId="300" xr:uid="{00000000-0005-0000-0000-000037010000}"/>
    <cellStyle name="20% - Accent6 5 3 2" xfId="646" xr:uid="{00000000-0005-0000-0000-000038010000}"/>
    <cellStyle name="20% - Accent6 5 4" xfId="382" xr:uid="{00000000-0005-0000-0000-000039010000}"/>
    <cellStyle name="20% - Accent6 5 4 2" xfId="647" xr:uid="{00000000-0005-0000-0000-00003A010000}"/>
    <cellStyle name="20% - Accent6 5 5" xfId="482" xr:uid="{00000000-0005-0000-0000-00003B010000}"/>
    <cellStyle name="20% - Accent6 6" xfId="114" xr:uid="{00000000-0005-0000-0000-00003C010000}"/>
    <cellStyle name="20% - Accent6 6 2" xfId="227" xr:uid="{00000000-0005-0000-0000-00003D010000}"/>
    <cellStyle name="20% - Accent6 6 2 2" xfId="648" xr:uid="{00000000-0005-0000-0000-00003E010000}"/>
    <cellStyle name="20% - Accent6 6 3" xfId="313" xr:uid="{00000000-0005-0000-0000-00003F010000}"/>
    <cellStyle name="20% - Accent6 6 3 2" xfId="649" xr:uid="{00000000-0005-0000-0000-000040010000}"/>
    <cellStyle name="20% - Accent6 6 4" xfId="395" xr:uid="{00000000-0005-0000-0000-000041010000}"/>
    <cellStyle name="20% - Accent6 6 4 2" xfId="650" xr:uid="{00000000-0005-0000-0000-000042010000}"/>
    <cellStyle name="20% - Accent6 6 5" xfId="495" xr:uid="{00000000-0005-0000-0000-000043010000}"/>
    <cellStyle name="20% - Accent6 7" xfId="130" xr:uid="{00000000-0005-0000-0000-000044010000}"/>
    <cellStyle name="20% - Accent6 7 2" xfId="242" xr:uid="{00000000-0005-0000-0000-000045010000}"/>
    <cellStyle name="20% - Accent6 7 2 2" xfId="651" xr:uid="{00000000-0005-0000-0000-000046010000}"/>
    <cellStyle name="20% - Accent6 7 3" xfId="327" xr:uid="{00000000-0005-0000-0000-000047010000}"/>
    <cellStyle name="20% - Accent6 7 3 2" xfId="652" xr:uid="{00000000-0005-0000-0000-000048010000}"/>
    <cellStyle name="20% - Accent6 7 4" xfId="409" xr:uid="{00000000-0005-0000-0000-000049010000}"/>
    <cellStyle name="20% - Accent6 7 4 2" xfId="653" xr:uid="{00000000-0005-0000-0000-00004A010000}"/>
    <cellStyle name="20% - Accent6 7 5" xfId="510" xr:uid="{00000000-0005-0000-0000-00004B010000}"/>
    <cellStyle name="20% - Accent6 8" xfId="155" xr:uid="{00000000-0005-0000-0000-00004C010000}"/>
    <cellStyle name="20% - Accent6 8 2" xfId="529" xr:uid="{00000000-0005-0000-0000-00004D010000}"/>
    <cellStyle name="20% - Accent6 9" xfId="244" xr:uid="{00000000-0005-0000-0000-00004E010000}"/>
    <cellStyle name="20% - Accent6 9 2" xfId="538" xr:uid="{00000000-0005-0000-0000-00004F010000}"/>
    <cellStyle name="40% - Accent1" xfId="19" builtinId="31" customBuiltin="1"/>
    <cellStyle name="40% - Accent1 10" xfId="248" xr:uid="{00000000-0005-0000-0000-000051010000}"/>
    <cellStyle name="40% - Accent1 10 2" xfId="654" xr:uid="{00000000-0005-0000-0000-000052010000}"/>
    <cellStyle name="40% - Accent1 11" xfId="420" xr:uid="{00000000-0005-0000-0000-000053010000}"/>
    <cellStyle name="40% - Accent1 2" xfId="50" xr:uid="{00000000-0005-0000-0000-000054010000}"/>
    <cellStyle name="40% - Accent1 2 2" xfId="166" xr:uid="{00000000-0005-0000-0000-000055010000}"/>
    <cellStyle name="40% - Accent1 2 2 2" xfId="655" xr:uid="{00000000-0005-0000-0000-000056010000}"/>
    <cellStyle name="40% - Accent1 2 3" xfId="254" xr:uid="{00000000-0005-0000-0000-000057010000}"/>
    <cellStyle name="40% - Accent1 2 3 2" xfId="656" xr:uid="{00000000-0005-0000-0000-000058010000}"/>
    <cellStyle name="40% - Accent1 2 4" xfId="337" xr:uid="{00000000-0005-0000-0000-000059010000}"/>
    <cellStyle name="40% - Accent1 2 4 2" xfId="657" xr:uid="{00000000-0005-0000-0000-00005A010000}"/>
    <cellStyle name="40% - Accent1 2 5" xfId="437" xr:uid="{00000000-0005-0000-0000-00005B010000}"/>
    <cellStyle name="40% - Accent1 3" xfId="56" xr:uid="{00000000-0005-0000-0000-00005C010000}"/>
    <cellStyle name="40% - Accent1 3 2" xfId="172" xr:uid="{00000000-0005-0000-0000-00005D010000}"/>
    <cellStyle name="40% - Accent1 3 2 2" xfId="658" xr:uid="{00000000-0005-0000-0000-00005E010000}"/>
    <cellStyle name="40% - Accent1 3 3" xfId="260" xr:uid="{00000000-0005-0000-0000-00005F010000}"/>
    <cellStyle name="40% - Accent1 3 3 2" xfId="659" xr:uid="{00000000-0005-0000-0000-000060010000}"/>
    <cellStyle name="40% - Accent1 3 4" xfId="343" xr:uid="{00000000-0005-0000-0000-000061010000}"/>
    <cellStyle name="40% - Accent1 3 4 2" xfId="660" xr:uid="{00000000-0005-0000-0000-000062010000}"/>
    <cellStyle name="40% - Accent1 3 5" xfId="443" xr:uid="{00000000-0005-0000-0000-000063010000}"/>
    <cellStyle name="40% - Accent1 4" xfId="48" xr:uid="{00000000-0005-0000-0000-000064010000}"/>
    <cellStyle name="40% - Accent1 4 2" xfId="164" xr:uid="{00000000-0005-0000-0000-000065010000}"/>
    <cellStyle name="40% - Accent1 4 2 2" xfId="661" xr:uid="{00000000-0005-0000-0000-000066010000}"/>
    <cellStyle name="40% - Accent1 4 3" xfId="252" xr:uid="{00000000-0005-0000-0000-000067010000}"/>
    <cellStyle name="40% - Accent1 4 3 2" xfId="662" xr:uid="{00000000-0005-0000-0000-000068010000}"/>
    <cellStyle name="40% - Accent1 4 4" xfId="335" xr:uid="{00000000-0005-0000-0000-000069010000}"/>
    <cellStyle name="40% - Accent1 4 4 2" xfId="663" xr:uid="{00000000-0005-0000-0000-00006A010000}"/>
    <cellStyle name="40% - Accent1 4 5" xfId="435" xr:uid="{00000000-0005-0000-0000-00006B010000}"/>
    <cellStyle name="40% - Accent1 5" xfId="91" xr:uid="{00000000-0005-0000-0000-00006C010000}"/>
    <cellStyle name="40% - Accent1 5 2" xfId="205" xr:uid="{00000000-0005-0000-0000-00006D010000}"/>
    <cellStyle name="40% - Accent1 5 2 2" xfId="664" xr:uid="{00000000-0005-0000-0000-00006E010000}"/>
    <cellStyle name="40% - Accent1 5 3" xfId="291" xr:uid="{00000000-0005-0000-0000-00006F010000}"/>
    <cellStyle name="40% - Accent1 5 3 2" xfId="665" xr:uid="{00000000-0005-0000-0000-000070010000}"/>
    <cellStyle name="40% - Accent1 5 4" xfId="373" xr:uid="{00000000-0005-0000-0000-000071010000}"/>
    <cellStyle name="40% - Accent1 5 4 2" xfId="666" xr:uid="{00000000-0005-0000-0000-000072010000}"/>
    <cellStyle name="40% - Accent1 5 5" xfId="473" xr:uid="{00000000-0005-0000-0000-000073010000}"/>
    <cellStyle name="40% - Accent1 6" xfId="105" xr:uid="{00000000-0005-0000-0000-000074010000}"/>
    <cellStyle name="40% - Accent1 6 2" xfId="218" xr:uid="{00000000-0005-0000-0000-000075010000}"/>
    <cellStyle name="40% - Accent1 6 2 2" xfId="667" xr:uid="{00000000-0005-0000-0000-000076010000}"/>
    <cellStyle name="40% - Accent1 6 3" xfId="304" xr:uid="{00000000-0005-0000-0000-000077010000}"/>
    <cellStyle name="40% - Accent1 6 3 2" xfId="668" xr:uid="{00000000-0005-0000-0000-000078010000}"/>
    <cellStyle name="40% - Accent1 6 4" xfId="386" xr:uid="{00000000-0005-0000-0000-000079010000}"/>
    <cellStyle name="40% - Accent1 6 4 2" xfId="669" xr:uid="{00000000-0005-0000-0000-00007A010000}"/>
    <cellStyle name="40% - Accent1 6 5" xfId="486" xr:uid="{00000000-0005-0000-0000-00007B010000}"/>
    <cellStyle name="40% - Accent1 7" xfId="121" xr:uid="{00000000-0005-0000-0000-00007C010000}"/>
    <cellStyle name="40% - Accent1 7 2" xfId="233" xr:uid="{00000000-0005-0000-0000-00007D010000}"/>
    <cellStyle name="40% - Accent1 7 2 2" xfId="670" xr:uid="{00000000-0005-0000-0000-00007E010000}"/>
    <cellStyle name="40% - Accent1 7 3" xfId="318" xr:uid="{00000000-0005-0000-0000-00007F010000}"/>
    <cellStyle name="40% - Accent1 7 3 2" xfId="671" xr:uid="{00000000-0005-0000-0000-000080010000}"/>
    <cellStyle name="40% - Accent1 7 4" xfId="400" xr:uid="{00000000-0005-0000-0000-000081010000}"/>
    <cellStyle name="40% - Accent1 7 4 2" xfId="672" xr:uid="{00000000-0005-0000-0000-000082010000}"/>
    <cellStyle name="40% - Accent1 7 5" xfId="501" xr:uid="{00000000-0005-0000-0000-000083010000}"/>
    <cellStyle name="40% - Accent1 8" xfId="139" xr:uid="{00000000-0005-0000-0000-000084010000}"/>
    <cellStyle name="40% - Accent1 8 2" xfId="516" xr:uid="{00000000-0005-0000-0000-000085010000}"/>
    <cellStyle name="40% - Accent1 9" xfId="194" xr:uid="{00000000-0005-0000-0000-000086010000}"/>
    <cellStyle name="40% - Accent1 9 2" xfId="525" xr:uid="{00000000-0005-0000-0000-000087010000}"/>
    <cellStyle name="40% - Accent2" xfId="23" builtinId="35" customBuiltin="1"/>
    <cellStyle name="40% - Accent2 10" xfId="229" xr:uid="{00000000-0005-0000-0000-000089010000}"/>
    <cellStyle name="40% - Accent2 10 2" xfId="673" xr:uid="{00000000-0005-0000-0000-00008A010000}"/>
    <cellStyle name="40% - Accent2 11" xfId="422" xr:uid="{00000000-0005-0000-0000-00008B010000}"/>
    <cellStyle name="40% - Accent2 2" xfId="54" xr:uid="{00000000-0005-0000-0000-00008C010000}"/>
    <cellStyle name="40% - Accent2 2 2" xfId="170" xr:uid="{00000000-0005-0000-0000-00008D010000}"/>
    <cellStyle name="40% - Accent2 2 2 2" xfId="674" xr:uid="{00000000-0005-0000-0000-00008E010000}"/>
    <cellStyle name="40% - Accent2 2 3" xfId="258" xr:uid="{00000000-0005-0000-0000-00008F010000}"/>
    <cellStyle name="40% - Accent2 2 3 2" xfId="675" xr:uid="{00000000-0005-0000-0000-000090010000}"/>
    <cellStyle name="40% - Accent2 2 4" xfId="341" xr:uid="{00000000-0005-0000-0000-000091010000}"/>
    <cellStyle name="40% - Accent2 2 4 2" xfId="676" xr:uid="{00000000-0005-0000-0000-000092010000}"/>
    <cellStyle name="40% - Accent2 2 5" xfId="441" xr:uid="{00000000-0005-0000-0000-000093010000}"/>
    <cellStyle name="40% - Accent2 3" xfId="65" xr:uid="{00000000-0005-0000-0000-000094010000}"/>
    <cellStyle name="40% - Accent2 3 2" xfId="181" xr:uid="{00000000-0005-0000-0000-000095010000}"/>
    <cellStyle name="40% - Accent2 3 2 2" xfId="677" xr:uid="{00000000-0005-0000-0000-000096010000}"/>
    <cellStyle name="40% - Accent2 3 3" xfId="269" xr:uid="{00000000-0005-0000-0000-000097010000}"/>
    <cellStyle name="40% - Accent2 3 3 2" xfId="678" xr:uid="{00000000-0005-0000-0000-000098010000}"/>
    <cellStyle name="40% - Accent2 3 4" xfId="352" xr:uid="{00000000-0005-0000-0000-000099010000}"/>
    <cellStyle name="40% - Accent2 3 4 2" xfId="679" xr:uid="{00000000-0005-0000-0000-00009A010000}"/>
    <cellStyle name="40% - Accent2 3 5" xfId="452" xr:uid="{00000000-0005-0000-0000-00009B010000}"/>
    <cellStyle name="40% - Accent2 4" xfId="72" xr:uid="{00000000-0005-0000-0000-00009C010000}"/>
    <cellStyle name="40% - Accent2 4 2" xfId="188" xr:uid="{00000000-0005-0000-0000-00009D010000}"/>
    <cellStyle name="40% - Accent2 4 2 2" xfId="680" xr:uid="{00000000-0005-0000-0000-00009E010000}"/>
    <cellStyle name="40% - Accent2 4 3" xfId="275" xr:uid="{00000000-0005-0000-0000-00009F010000}"/>
    <cellStyle name="40% - Accent2 4 3 2" xfId="681" xr:uid="{00000000-0005-0000-0000-0000A0010000}"/>
    <cellStyle name="40% - Accent2 4 4" xfId="358" xr:uid="{00000000-0005-0000-0000-0000A1010000}"/>
    <cellStyle name="40% - Accent2 4 4 2" xfId="682" xr:uid="{00000000-0005-0000-0000-0000A2010000}"/>
    <cellStyle name="40% - Accent2 4 5" xfId="458" xr:uid="{00000000-0005-0000-0000-0000A3010000}"/>
    <cellStyle name="40% - Accent2 5" xfId="93" xr:uid="{00000000-0005-0000-0000-0000A4010000}"/>
    <cellStyle name="40% - Accent2 5 2" xfId="207" xr:uid="{00000000-0005-0000-0000-0000A5010000}"/>
    <cellStyle name="40% - Accent2 5 2 2" xfId="683" xr:uid="{00000000-0005-0000-0000-0000A6010000}"/>
    <cellStyle name="40% - Accent2 5 3" xfId="293" xr:uid="{00000000-0005-0000-0000-0000A7010000}"/>
    <cellStyle name="40% - Accent2 5 3 2" xfId="684" xr:uid="{00000000-0005-0000-0000-0000A8010000}"/>
    <cellStyle name="40% - Accent2 5 4" xfId="375" xr:uid="{00000000-0005-0000-0000-0000A9010000}"/>
    <cellStyle name="40% - Accent2 5 4 2" xfId="685" xr:uid="{00000000-0005-0000-0000-0000AA010000}"/>
    <cellStyle name="40% - Accent2 5 5" xfId="475" xr:uid="{00000000-0005-0000-0000-0000AB010000}"/>
    <cellStyle name="40% - Accent2 6" xfId="107" xr:uid="{00000000-0005-0000-0000-0000AC010000}"/>
    <cellStyle name="40% - Accent2 6 2" xfId="220" xr:uid="{00000000-0005-0000-0000-0000AD010000}"/>
    <cellStyle name="40% - Accent2 6 2 2" xfId="686" xr:uid="{00000000-0005-0000-0000-0000AE010000}"/>
    <cellStyle name="40% - Accent2 6 3" xfId="306" xr:uid="{00000000-0005-0000-0000-0000AF010000}"/>
    <cellStyle name="40% - Accent2 6 3 2" xfId="687" xr:uid="{00000000-0005-0000-0000-0000B0010000}"/>
    <cellStyle name="40% - Accent2 6 4" xfId="388" xr:uid="{00000000-0005-0000-0000-0000B1010000}"/>
    <cellStyle name="40% - Accent2 6 4 2" xfId="688" xr:uid="{00000000-0005-0000-0000-0000B2010000}"/>
    <cellStyle name="40% - Accent2 6 5" xfId="488" xr:uid="{00000000-0005-0000-0000-0000B3010000}"/>
    <cellStyle name="40% - Accent2 7" xfId="123" xr:uid="{00000000-0005-0000-0000-0000B4010000}"/>
    <cellStyle name="40% - Accent2 7 2" xfId="235" xr:uid="{00000000-0005-0000-0000-0000B5010000}"/>
    <cellStyle name="40% - Accent2 7 2 2" xfId="689" xr:uid="{00000000-0005-0000-0000-0000B6010000}"/>
    <cellStyle name="40% - Accent2 7 3" xfId="320" xr:uid="{00000000-0005-0000-0000-0000B7010000}"/>
    <cellStyle name="40% - Accent2 7 3 2" xfId="690" xr:uid="{00000000-0005-0000-0000-0000B8010000}"/>
    <cellStyle name="40% - Accent2 7 4" xfId="402" xr:uid="{00000000-0005-0000-0000-0000B9010000}"/>
    <cellStyle name="40% - Accent2 7 4 2" xfId="691" xr:uid="{00000000-0005-0000-0000-0000BA010000}"/>
    <cellStyle name="40% - Accent2 7 5" xfId="503" xr:uid="{00000000-0005-0000-0000-0000BB010000}"/>
    <cellStyle name="40% - Accent2 8" xfId="143" xr:uid="{00000000-0005-0000-0000-0000BC010000}"/>
    <cellStyle name="40% - Accent2 8 2" xfId="519" xr:uid="{00000000-0005-0000-0000-0000BD010000}"/>
    <cellStyle name="40% - Accent2 9" xfId="135" xr:uid="{00000000-0005-0000-0000-0000BE010000}"/>
    <cellStyle name="40% - Accent2 9 2" xfId="531" xr:uid="{00000000-0005-0000-0000-0000BF010000}"/>
    <cellStyle name="40% - Accent3" xfId="27" builtinId="39" customBuiltin="1"/>
    <cellStyle name="40% - Accent3 10" xfId="154" xr:uid="{00000000-0005-0000-0000-0000C1010000}"/>
    <cellStyle name="40% - Accent3 10 2" xfId="692" xr:uid="{00000000-0005-0000-0000-0000C2010000}"/>
    <cellStyle name="40% - Accent3 11" xfId="424" xr:uid="{00000000-0005-0000-0000-0000C3010000}"/>
    <cellStyle name="40% - Accent3 2" xfId="58" xr:uid="{00000000-0005-0000-0000-0000C4010000}"/>
    <cellStyle name="40% - Accent3 2 2" xfId="174" xr:uid="{00000000-0005-0000-0000-0000C5010000}"/>
    <cellStyle name="40% - Accent3 2 2 2" xfId="693" xr:uid="{00000000-0005-0000-0000-0000C6010000}"/>
    <cellStyle name="40% - Accent3 2 3" xfId="262" xr:uid="{00000000-0005-0000-0000-0000C7010000}"/>
    <cellStyle name="40% - Accent3 2 3 2" xfId="694" xr:uid="{00000000-0005-0000-0000-0000C8010000}"/>
    <cellStyle name="40% - Accent3 2 4" xfId="345" xr:uid="{00000000-0005-0000-0000-0000C9010000}"/>
    <cellStyle name="40% - Accent3 2 4 2" xfId="695" xr:uid="{00000000-0005-0000-0000-0000CA010000}"/>
    <cellStyle name="40% - Accent3 2 5" xfId="445" xr:uid="{00000000-0005-0000-0000-0000CB010000}"/>
    <cellStyle name="40% - Accent3 3" xfId="51" xr:uid="{00000000-0005-0000-0000-0000CC010000}"/>
    <cellStyle name="40% - Accent3 3 2" xfId="167" xr:uid="{00000000-0005-0000-0000-0000CD010000}"/>
    <cellStyle name="40% - Accent3 3 2 2" xfId="696" xr:uid="{00000000-0005-0000-0000-0000CE010000}"/>
    <cellStyle name="40% - Accent3 3 3" xfId="255" xr:uid="{00000000-0005-0000-0000-0000CF010000}"/>
    <cellStyle name="40% - Accent3 3 3 2" xfId="697" xr:uid="{00000000-0005-0000-0000-0000D0010000}"/>
    <cellStyle name="40% - Accent3 3 4" xfId="338" xr:uid="{00000000-0005-0000-0000-0000D1010000}"/>
    <cellStyle name="40% - Accent3 3 4 2" xfId="698" xr:uid="{00000000-0005-0000-0000-0000D2010000}"/>
    <cellStyle name="40% - Accent3 3 5" xfId="438" xr:uid="{00000000-0005-0000-0000-0000D3010000}"/>
    <cellStyle name="40% - Accent3 4" xfId="80" xr:uid="{00000000-0005-0000-0000-0000D4010000}"/>
    <cellStyle name="40% - Accent3 4 2" xfId="195" xr:uid="{00000000-0005-0000-0000-0000D5010000}"/>
    <cellStyle name="40% - Accent3 4 2 2" xfId="699" xr:uid="{00000000-0005-0000-0000-0000D6010000}"/>
    <cellStyle name="40% - Accent3 4 3" xfId="282" xr:uid="{00000000-0005-0000-0000-0000D7010000}"/>
    <cellStyle name="40% - Accent3 4 3 2" xfId="700" xr:uid="{00000000-0005-0000-0000-0000D8010000}"/>
    <cellStyle name="40% - Accent3 4 4" xfId="364" xr:uid="{00000000-0005-0000-0000-0000D9010000}"/>
    <cellStyle name="40% - Accent3 4 4 2" xfId="701" xr:uid="{00000000-0005-0000-0000-0000DA010000}"/>
    <cellStyle name="40% - Accent3 4 5" xfId="464" xr:uid="{00000000-0005-0000-0000-0000DB010000}"/>
    <cellStyle name="40% - Accent3 5" xfId="95" xr:uid="{00000000-0005-0000-0000-0000DC010000}"/>
    <cellStyle name="40% - Accent3 5 2" xfId="209" xr:uid="{00000000-0005-0000-0000-0000DD010000}"/>
    <cellStyle name="40% - Accent3 5 2 2" xfId="702" xr:uid="{00000000-0005-0000-0000-0000DE010000}"/>
    <cellStyle name="40% - Accent3 5 3" xfId="295" xr:uid="{00000000-0005-0000-0000-0000DF010000}"/>
    <cellStyle name="40% - Accent3 5 3 2" xfId="703" xr:uid="{00000000-0005-0000-0000-0000E0010000}"/>
    <cellStyle name="40% - Accent3 5 4" xfId="377" xr:uid="{00000000-0005-0000-0000-0000E1010000}"/>
    <cellStyle name="40% - Accent3 5 4 2" xfId="704" xr:uid="{00000000-0005-0000-0000-0000E2010000}"/>
    <cellStyle name="40% - Accent3 5 5" xfId="477" xr:uid="{00000000-0005-0000-0000-0000E3010000}"/>
    <cellStyle name="40% - Accent3 6" xfId="109" xr:uid="{00000000-0005-0000-0000-0000E4010000}"/>
    <cellStyle name="40% - Accent3 6 2" xfId="222" xr:uid="{00000000-0005-0000-0000-0000E5010000}"/>
    <cellStyle name="40% - Accent3 6 2 2" xfId="705" xr:uid="{00000000-0005-0000-0000-0000E6010000}"/>
    <cellStyle name="40% - Accent3 6 3" xfId="308" xr:uid="{00000000-0005-0000-0000-0000E7010000}"/>
    <cellStyle name="40% - Accent3 6 3 2" xfId="706" xr:uid="{00000000-0005-0000-0000-0000E8010000}"/>
    <cellStyle name="40% - Accent3 6 4" xfId="390" xr:uid="{00000000-0005-0000-0000-0000E9010000}"/>
    <cellStyle name="40% - Accent3 6 4 2" xfId="707" xr:uid="{00000000-0005-0000-0000-0000EA010000}"/>
    <cellStyle name="40% - Accent3 6 5" xfId="490" xr:uid="{00000000-0005-0000-0000-0000EB010000}"/>
    <cellStyle name="40% - Accent3 7" xfId="125" xr:uid="{00000000-0005-0000-0000-0000EC010000}"/>
    <cellStyle name="40% - Accent3 7 2" xfId="237" xr:uid="{00000000-0005-0000-0000-0000ED010000}"/>
    <cellStyle name="40% - Accent3 7 2 2" xfId="708" xr:uid="{00000000-0005-0000-0000-0000EE010000}"/>
    <cellStyle name="40% - Accent3 7 3" xfId="322" xr:uid="{00000000-0005-0000-0000-0000EF010000}"/>
    <cellStyle name="40% - Accent3 7 3 2" xfId="709" xr:uid="{00000000-0005-0000-0000-0000F0010000}"/>
    <cellStyle name="40% - Accent3 7 4" xfId="404" xr:uid="{00000000-0005-0000-0000-0000F1010000}"/>
    <cellStyle name="40% - Accent3 7 4 2" xfId="710" xr:uid="{00000000-0005-0000-0000-0000F2010000}"/>
    <cellStyle name="40% - Accent3 7 5" xfId="505" xr:uid="{00000000-0005-0000-0000-0000F3010000}"/>
    <cellStyle name="40% - Accent3 8" xfId="146" xr:uid="{00000000-0005-0000-0000-0000F4010000}"/>
    <cellStyle name="40% - Accent3 8 2" xfId="522" xr:uid="{00000000-0005-0000-0000-0000F5010000}"/>
    <cellStyle name="40% - Accent3 9" xfId="148" xr:uid="{00000000-0005-0000-0000-0000F6010000}"/>
    <cellStyle name="40% - Accent3 9 2" xfId="533" xr:uid="{00000000-0005-0000-0000-0000F7010000}"/>
    <cellStyle name="40% - Accent4" xfId="31" builtinId="43" customBuiltin="1"/>
    <cellStyle name="40% - Accent4 10" xfId="140" xr:uid="{00000000-0005-0000-0000-0000F9010000}"/>
    <cellStyle name="40% - Accent4 10 2" xfId="711" xr:uid="{00000000-0005-0000-0000-0000FA010000}"/>
    <cellStyle name="40% - Accent4 11" xfId="426" xr:uid="{00000000-0005-0000-0000-0000FB010000}"/>
    <cellStyle name="40% - Accent4 2" xfId="62" xr:uid="{00000000-0005-0000-0000-0000FC010000}"/>
    <cellStyle name="40% - Accent4 2 2" xfId="178" xr:uid="{00000000-0005-0000-0000-0000FD010000}"/>
    <cellStyle name="40% - Accent4 2 2 2" xfId="712" xr:uid="{00000000-0005-0000-0000-0000FE010000}"/>
    <cellStyle name="40% - Accent4 2 3" xfId="266" xr:uid="{00000000-0005-0000-0000-0000FF010000}"/>
    <cellStyle name="40% - Accent4 2 3 2" xfId="713" xr:uid="{00000000-0005-0000-0000-000000020000}"/>
    <cellStyle name="40% - Accent4 2 4" xfId="349" xr:uid="{00000000-0005-0000-0000-000001020000}"/>
    <cellStyle name="40% - Accent4 2 4 2" xfId="714" xr:uid="{00000000-0005-0000-0000-000002020000}"/>
    <cellStyle name="40% - Accent4 2 5" xfId="449" xr:uid="{00000000-0005-0000-0000-000003020000}"/>
    <cellStyle name="40% - Accent4 3" xfId="71" xr:uid="{00000000-0005-0000-0000-000004020000}"/>
    <cellStyle name="40% - Accent4 3 2" xfId="187" xr:uid="{00000000-0005-0000-0000-000005020000}"/>
    <cellStyle name="40% - Accent4 3 2 2" xfId="715" xr:uid="{00000000-0005-0000-0000-000006020000}"/>
    <cellStyle name="40% - Accent4 3 3" xfId="274" xr:uid="{00000000-0005-0000-0000-000007020000}"/>
    <cellStyle name="40% - Accent4 3 3 2" xfId="716" xr:uid="{00000000-0005-0000-0000-000008020000}"/>
    <cellStyle name="40% - Accent4 3 4" xfId="357" xr:uid="{00000000-0005-0000-0000-000009020000}"/>
    <cellStyle name="40% - Accent4 3 4 2" xfId="717" xr:uid="{00000000-0005-0000-0000-00000A020000}"/>
    <cellStyle name="40% - Accent4 3 5" xfId="457" xr:uid="{00000000-0005-0000-0000-00000B020000}"/>
    <cellStyle name="40% - Accent4 4" xfId="82" xr:uid="{00000000-0005-0000-0000-00000C020000}"/>
    <cellStyle name="40% - Accent4 4 2" xfId="197" xr:uid="{00000000-0005-0000-0000-00000D020000}"/>
    <cellStyle name="40% - Accent4 4 2 2" xfId="718" xr:uid="{00000000-0005-0000-0000-00000E020000}"/>
    <cellStyle name="40% - Accent4 4 3" xfId="284" xr:uid="{00000000-0005-0000-0000-00000F020000}"/>
    <cellStyle name="40% - Accent4 4 3 2" xfId="719" xr:uid="{00000000-0005-0000-0000-000010020000}"/>
    <cellStyle name="40% - Accent4 4 4" xfId="366" xr:uid="{00000000-0005-0000-0000-000011020000}"/>
    <cellStyle name="40% - Accent4 4 4 2" xfId="720" xr:uid="{00000000-0005-0000-0000-000012020000}"/>
    <cellStyle name="40% - Accent4 4 5" xfId="466" xr:uid="{00000000-0005-0000-0000-000013020000}"/>
    <cellStyle name="40% - Accent4 5" xfId="97" xr:uid="{00000000-0005-0000-0000-000014020000}"/>
    <cellStyle name="40% - Accent4 5 2" xfId="211" xr:uid="{00000000-0005-0000-0000-000015020000}"/>
    <cellStyle name="40% - Accent4 5 2 2" xfId="721" xr:uid="{00000000-0005-0000-0000-000016020000}"/>
    <cellStyle name="40% - Accent4 5 3" xfId="297" xr:uid="{00000000-0005-0000-0000-000017020000}"/>
    <cellStyle name="40% - Accent4 5 3 2" xfId="722" xr:uid="{00000000-0005-0000-0000-000018020000}"/>
    <cellStyle name="40% - Accent4 5 4" xfId="379" xr:uid="{00000000-0005-0000-0000-000019020000}"/>
    <cellStyle name="40% - Accent4 5 4 2" xfId="723" xr:uid="{00000000-0005-0000-0000-00001A020000}"/>
    <cellStyle name="40% - Accent4 5 5" xfId="479" xr:uid="{00000000-0005-0000-0000-00001B020000}"/>
    <cellStyle name="40% - Accent4 6" xfId="111" xr:uid="{00000000-0005-0000-0000-00001C020000}"/>
    <cellStyle name="40% - Accent4 6 2" xfId="224" xr:uid="{00000000-0005-0000-0000-00001D020000}"/>
    <cellStyle name="40% - Accent4 6 2 2" xfId="724" xr:uid="{00000000-0005-0000-0000-00001E020000}"/>
    <cellStyle name="40% - Accent4 6 3" xfId="310" xr:uid="{00000000-0005-0000-0000-00001F020000}"/>
    <cellStyle name="40% - Accent4 6 3 2" xfId="725" xr:uid="{00000000-0005-0000-0000-000020020000}"/>
    <cellStyle name="40% - Accent4 6 4" xfId="392" xr:uid="{00000000-0005-0000-0000-000021020000}"/>
    <cellStyle name="40% - Accent4 6 4 2" xfId="726" xr:uid="{00000000-0005-0000-0000-000022020000}"/>
    <cellStyle name="40% - Accent4 6 5" xfId="492" xr:uid="{00000000-0005-0000-0000-000023020000}"/>
    <cellStyle name="40% - Accent4 7" xfId="127" xr:uid="{00000000-0005-0000-0000-000024020000}"/>
    <cellStyle name="40% - Accent4 7 2" xfId="239" xr:uid="{00000000-0005-0000-0000-000025020000}"/>
    <cellStyle name="40% - Accent4 7 2 2" xfId="727" xr:uid="{00000000-0005-0000-0000-000026020000}"/>
    <cellStyle name="40% - Accent4 7 3" xfId="324" xr:uid="{00000000-0005-0000-0000-000027020000}"/>
    <cellStyle name="40% - Accent4 7 3 2" xfId="728" xr:uid="{00000000-0005-0000-0000-000028020000}"/>
    <cellStyle name="40% - Accent4 7 4" xfId="406" xr:uid="{00000000-0005-0000-0000-000029020000}"/>
    <cellStyle name="40% - Accent4 7 4 2" xfId="729" xr:uid="{00000000-0005-0000-0000-00002A020000}"/>
    <cellStyle name="40% - Accent4 7 5" xfId="507" xr:uid="{00000000-0005-0000-0000-00002B020000}"/>
    <cellStyle name="40% - Accent4 8" xfId="150" xr:uid="{00000000-0005-0000-0000-00002C020000}"/>
    <cellStyle name="40% - Accent4 8 2" xfId="524" xr:uid="{00000000-0005-0000-0000-00002D020000}"/>
    <cellStyle name="40% - Accent4 9" xfId="157" xr:uid="{00000000-0005-0000-0000-00002E020000}"/>
    <cellStyle name="40% - Accent4 9 2" xfId="535" xr:uid="{00000000-0005-0000-0000-00002F020000}"/>
    <cellStyle name="40% - Accent5" xfId="35" builtinId="47" customBuiltin="1"/>
    <cellStyle name="40% - Accent5 10" xfId="160" xr:uid="{00000000-0005-0000-0000-000031020000}"/>
    <cellStyle name="40% - Accent5 10 2" xfId="730" xr:uid="{00000000-0005-0000-0000-000032020000}"/>
    <cellStyle name="40% - Accent5 11" xfId="428" xr:uid="{00000000-0005-0000-0000-000033020000}"/>
    <cellStyle name="40% - Accent5 2" xfId="64" xr:uid="{00000000-0005-0000-0000-000034020000}"/>
    <cellStyle name="40% - Accent5 2 2" xfId="180" xr:uid="{00000000-0005-0000-0000-000035020000}"/>
    <cellStyle name="40% - Accent5 2 2 2" xfId="731" xr:uid="{00000000-0005-0000-0000-000036020000}"/>
    <cellStyle name="40% - Accent5 2 3" xfId="268" xr:uid="{00000000-0005-0000-0000-000037020000}"/>
    <cellStyle name="40% - Accent5 2 3 2" xfId="732" xr:uid="{00000000-0005-0000-0000-000038020000}"/>
    <cellStyle name="40% - Accent5 2 4" xfId="351" xr:uid="{00000000-0005-0000-0000-000039020000}"/>
    <cellStyle name="40% - Accent5 2 4 2" xfId="733" xr:uid="{00000000-0005-0000-0000-00003A020000}"/>
    <cellStyle name="40% - Accent5 2 5" xfId="451" xr:uid="{00000000-0005-0000-0000-00003B020000}"/>
    <cellStyle name="40% - Accent5 3" xfId="74" xr:uid="{00000000-0005-0000-0000-00003C020000}"/>
    <cellStyle name="40% - Accent5 3 2" xfId="190" xr:uid="{00000000-0005-0000-0000-00003D020000}"/>
    <cellStyle name="40% - Accent5 3 2 2" xfId="734" xr:uid="{00000000-0005-0000-0000-00003E020000}"/>
    <cellStyle name="40% - Accent5 3 3" xfId="277" xr:uid="{00000000-0005-0000-0000-00003F020000}"/>
    <cellStyle name="40% - Accent5 3 3 2" xfId="735" xr:uid="{00000000-0005-0000-0000-000040020000}"/>
    <cellStyle name="40% - Accent5 3 4" xfId="360" xr:uid="{00000000-0005-0000-0000-000041020000}"/>
    <cellStyle name="40% - Accent5 3 4 2" xfId="736" xr:uid="{00000000-0005-0000-0000-000042020000}"/>
    <cellStyle name="40% - Accent5 3 5" xfId="460" xr:uid="{00000000-0005-0000-0000-000043020000}"/>
    <cellStyle name="40% - Accent5 4" xfId="84" xr:uid="{00000000-0005-0000-0000-000044020000}"/>
    <cellStyle name="40% - Accent5 4 2" xfId="199" xr:uid="{00000000-0005-0000-0000-000045020000}"/>
    <cellStyle name="40% - Accent5 4 2 2" xfId="737" xr:uid="{00000000-0005-0000-0000-000046020000}"/>
    <cellStyle name="40% - Accent5 4 3" xfId="286" xr:uid="{00000000-0005-0000-0000-000047020000}"/>
    <cellStyle name="40% - Accent5 4 3 2" xfId="738" xr:uid="{00000000-0005-0000-0000-000048020000}"/>
    <cellStyle name="40% - Accent5 4 4" xfId="368" xr:uid="{00000000-0005-0000-0000-000049020000}"/>
    <cellStyle name="40% - Accent5 4 4 2" xfId="739" xr:uid="{00000000-0005-0000-0000-00004A020000}"/>
    <cellStyle name="40% - Accent5 4 5" xfId="468" xr:uid="{00000000-0005-0000-0000-00004B020000}"/>
    <cellStyle name="40% - Accent5 5" xfId="99" xr:uid="{00000000-0005-0000-0000-00004C020000}"/>
    <cellStyle name="40% - Accent5 5 2" xfId="213" xr:uid="{00000000-0005-0000-0000-00004D020000}"/>
    <cellStyle name="40% - Accent5 5 2 2" xfId="740" xr:uid="{00000000-0005-0000-0000-00004E020000}"/>
    <cellStyle name="40% - Accent5 5 3" xfId="299" xr:uid="{00000000-0005-0000-0000-00004F020000}"/>
    <cellStyle name="40% - Accent5 5 3 2" xfId="741" xr:uid="{00000000-0005-0000-0000-000050020000}"/>
    <cellStyle name="40% - Accent5 5 4" xfId="381" xr:uid="{00000000-0005-0000-0000-000051020000}"/>
    <cellStyle name="40% - Accent5 5 4 2" xfId="742" xr:uid="{00000000-0005-0000-0000-000052020000}"/>
    <cellStyle name="40% - Accent5 5 5" xfId="481" xr:uid="{00000000-0005-0000-0000-000053020000}"/>
    <cellStyle name="40% - Accent5 6" xfId="113" xr:uid="{00000000-0005-0000-0000-000054020000}"/>
    <cellStyle name="40% - Accent5 6 2" xfId="226" xr:uid="{00000000-0005-0000-0000-000055020000}"/>
    <cellStyle name="40% - Accent5 6 2 2" xfId="743" xr:uid="{00000000-0005-0000-0000-000056020000}"/>
    <cellStyle name="40% - Accent5 6 3" xfId="312" xr:uid="{00000000-0005-0000-0000-000057020000}"/>
    <cellStyle name="40% - Accent5 6 3 2" xfId="744" xr:uid="{00000000-0005-0000-0000-000058020000}"/>
    <cellStyle name="40% - Accent5 6 4" xfId="394" xr:uid="{00000000-0005-0000-0000-000059020000}"/>
    <cellStyle name="40% - Accent5 6 4 2" xfId="745" xr:uid="{00000000-0005-0000-0000-00005A020000}"/>
    <cellStyle name="40% - Accent5 6 5" xfId="494" xr:uid="{00000000-0005-0000-0000-00005B020000}"/>
    <cellStyle name="40% - Accent5 7" xfId="129" xr:uid="{00000000-0005-0000-0000-00005C020000}"/>
    <cellStyle name="40% - Accent5 7 2" xfId="241" xr:uid="{00000000-0005-0000-0000-00005D020000}"/>
    <cellStyle name="40% - Accent5 7 2 2" xfId="746" xr:uid="{00000000-0005-0000-0000-00005E020000}"/>
    <cellStyle name="40% - Accent5 7 3" xfId="326" xr:uid="{00000000-0005-0000-0000-00005F020000}"/>
    <cellStyle name="40% - Accent5 7 3 2" xfId="747" xr:uid="{00000000-0005-0000-0000-000060020000}"/>
    <cellStyle name="40% - Accent5 7 4" xfId="408" xr:uid="{00000000-0005-0000-0000-000061020000}"/>
    <cellStyle name="40% - Accent5 7 4 2" xfId="748" xr:uid="{00000000-0005-0000-0000-000062020000}"/>
    <cellStyle name="40% - Accent5 7 5" xfId="509" xr:uid="{00000000-0005-0000-0000-000063020000}"/>
    <cellStyle name="40% - Accent5 8" xfId="153" xr:uid="{00000000-0005-0000-0000-000064020000}"/>
    <cellStyle name="40% - Accent5 8 2" xfId="527" xr:uid="{00000000-0005-0000-0000-000065020000}"/>
    <cellStyle name="40% - Accent5 9" xfId="144" xr:uid="{00000000-0005-0000-0000-000066020000}"/>
    <cellStyle name="40% - Accent5 9 2" xfId="537" xr:uid="{00000000-0005-0000-0000-000067020000}"/>
    <cellStyle name="40% - Accent6" xfId="39" builtinId="51" customBuiltin="1"/>
    <cellStyle name="40% - Accent6 10" xfId="330" xr:uid="{00000000-0005-0000-0000-000069020000}"/>
    <cellStyle name="40% - Accent6 10 2" xfId="749" xr:uid="{00000000-0005-0000-0000-00006A020000}"/>
    <cellStyle name="40% - Accent6 11" xfId="430" xr:uid="{00000000-0005-0000-0000-00006B020000}"/>
    <cellStyle name="40% - Accent6 2" xfId="67" xr:uid="{00000000-0005-0000-0000-00006C020000}"/>
    <cellStyle name="40% - Accent6 2 2" xfId="183" xr:uid="{00000000-0005-0000-0000-00006D020000}"/>
    <cellStyle name="40% - Accent6 2 2 2" xfId="750" xr:uid="{00000000-0005-0000-0000-00006E020000}"/>
    <cellStyle name="40% - Accent6 2 3" xfId="271" xr:uid="{00000000-0005-0000-0000-00006F020000}"/>
    <cellStyle name="40% - Accent6 2 3 2" xfId="751" xr:uid="{00000000-0005-0000-0000-000070020000}"/>
    <cellStyle name="40% - Accent6 2 4" xfId="354" xr:uid="{00000000-0005-0000-0000-000071020000}"/>
    <cellStyle name="40% - Accent6 2 4 2" xfId="752" xr:uid="{00000000-0005-0000-0000-000072020000}"/>
    <cellStyle name="40% - Accent6 2 5" xfId="454" xr:uid="{00000000-0005-0000-0000-000073020000}"/>
    <cellStyle name="40% - Accent6 3" xfId="77" xr:uid="{00000000-0005-0000-0000-000074020000}"/>
    <cellStyle name="40% - Accent6 3 2" xfId="193" xr:uid="{00000000-0005-0000-0000-000075020000}"/>
    <cellStyle name="40% - Accent6 3 2 2" xfId="753" xr:uid="{00000000-0005-0000-0000-000076020000}"/>
    <cellStyle name="40% - Accent6 3 3" xfId="280" xr:uid="{00000000-0005-0000-0000-000077020000}"/>
    <cellStyle name="40% - Accent6 3 3 2" xfId="754" xr:uid="{00000000-0005-0000-0000-000078020000}"/>
    <cellStyle name="40% - Accent6 3 4" xfId="363" xr:uid="{00000000-0005-0000-0000-000079020000}"/>
    <cellStyle name="40% - Accent6 3 4 2" xfId="755" xr:uid="{00000000-0005-0000-0000-00007A020000}"/>
    <cellStyle name="40% - Accent6 3 5" xfId="463" xr:uid="{00000000-0005-0000-0000-00007B020000}"/>
    <cellStyle name="40% - Accent6 4" xfId="86" xr:uid="{00000000-0005-0000-0000-00007C020000}"/>
    <cellStyle name="40% - Accent6 4 2" xfId="201" xr:uid="{00000000-0005-0000-0000-00007D020000}"/>
    <cellStyle name="40% - Accent6 4 2 2" xfId="756" xr:uid="{00000000-0005-0000-0000-00007E020000}"/>
    <cellStyle name="40% - Accent6 4 3" xfId="288" xr:uid="{00000000-0005-0000-0000-00007F020000}"/>
    <cellStyle name="40% - Accent6 4 3 2" xfId="757" xr:uid="{00000000-0005-0000-0000-000080020000}"/>
    <cellStyle name="40% - Accent6 4 4" xfId="370" xr:uid="{00000000-0005-0000-0000-000081020000}"/>
    <cellStyle name="40% - Accent6 4 4 2" xfId="758" xr:uid="{00000000-0005-0000-0000-000082020000}"/>
    <cellStyle name="40% - Accent6 4 5" xfId="470" xr:uid="{00000000-0005-0000-0000-000083020000}"/>
    <cellStyle name="40% - Accent6 5" xfId="101" xr:uid="{00000000-0005-0000-0000-000084020000}"/>
    <cellStyle name="40% - Accent6 5 2" xfId="215" xr:uid="{00000000-0005-0000-0000-000085020000}"/>
    <cellStyle name="40% - Accent6 5 2 2" xfId="759" xr:uid="{00000000-0005-0000-0000-000086020000}"/>
    <cellStyle name="40% - Accent6 5 3" xfId="301" xr:uid="{00000000-0005-0000-0000-000087020000}"/>
    <cellStyle name="40% - Accent6 5 3 2" xfId="760" xr:uid="{00000000-0005-0000-0000-000088020000}"/>
    <cellStyle name="40% - Accent6 5 4" xfId="383" xr:uid="{00000000-0005-0000-0000-000089020000}"/>
    <cellStyle name="40% - Accent6 5 4 2" xfId="761" xr:uid="{00000000-0005-0000-0000-00008A020000}"/>
    <cellStyle name="40% - Accent6 5 5" xfId="483" xr:uid="{00000000-0005-0000-0000-00008B020000}"/>
    <cellStyle name="40% - Accent6 6" xfId="115" xr:uid="{00000000-0005-0000-0000-00008C020000}"/>
    <cellStyle name="40% - Accent6 6 2" xfId="228" xr:uid="{00000000-0005-0000-0000-00008D020000}"/>
    <cellStyle name="40% - Accent6 6 2 2" xfId="762" xr:uid="{00000000-0005-0000-0000-00008E020000}"/>
    <cellStyle name="40% - Accent6 6 3" xfId="314" xr:uid="{00000000-0005-0000-0000-00008F020000}"/>
    <cellStyle name="40% - Accent6 6 3 2" xfId="763" xr:uid="{00000000-0005-0000-0000-000090020000}"/>
    <cellStyle name="40% - Accent6 6 4" xfId="396" xr:uid="{00000000-0005-0000-0000-000091020000}"/>
    <cellStyle name="40% - Accent6 6 4 2" xfId="764" xr:uid="{00000000-0005-0000-0000-000092020000}"/>
    <cellStyle name="40% - Accent6 6 5" xfId="496" xr:uid="{00000000-0005-0000-0000-000093020000}"/>
    <cellStyle name="40% - Accent6 7" xfId="131" xr:uid="{00000000-0005-0000-0000-000094020000}"/>
    <cellStyle name="40% - Accent6 7 2" xfId="243" xr:uid="{00000000-0005-0000-0000-000095020000}"/>
    <cellStyle name="40% - Accent6 7 2 2" xfId="765" xr:uid="{00000000-0005-0000-0000-000096020000}"/>
    <cellStyle name="40% - Accent6 7 3" xfId="328" xr:uid="{00000000-0005-0000-0000-000097020000}"/>
    <cellStyle name="40% - Accent6 7 3 2" xfId="766" xr:uid="{00000000-0005-0000-0000-000098020000}"/>
    <cellStyle name="40% - Accent6 7 4" xfId="410" xr:uid="{00000000-0005-0000-0000-000099020000}"/>
    <cellStyle name="40% - Accent6 7 4 2" xfId="767" xr:uid="{00000000-0005-0000-0000-00009A020000}"/>
    <cellStyle name="40% - Accent6 7 5" xfId="511" xr:uid="{00000000-0005-0000-0000-00009B020000}"/>
    <cellStyle name="40% - Accent6 8" xfId="156" xr:uid="{00000000-0005-0000-0000-00009C020000}"/>
    <cellStyle name="40% - Accent6 8 2" xfId="530" xr:uid="{00000000-0005-0000-0000-00009D020000}"/>
    <cellStyle name="40% - Accent6 9" xfId="245" xr:uid="{00000000-0005-0000-0000-00009E020000}"/>
    <cellStyle name="40% - Accent6 9 2" xfId="539" xr:uid="{00000000-0005-0000-0000-00009F02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793" builtinId="3"/>
    <cellStyle name="Currency" xfId="797" builtinId="4"/>
    <cellStyle name="Currency 2" xfId="497" xr:uid="{00000000-0005-0000-0000-0000B0020000}"/>
    <cellStyle name="Explanatory Text" xfId="15" builtinId="53" customBuiltin="1"/>
    <cellStyle name="Followed Hyperlink" xfId="43" builtinId="9" customBuiltin="1"/>
    <cellStyle name="Followed Hyperlink 2" xfId="79" xr:uid="{00000000-0005-0000-0000-0000B3020000}"/>
    <cellStyle name="Followed Hyperlink 3" xfId="88" xr:uid="{00000000-0005-0000-0000-0000B4020000}"/>
    <cellStyle name="Followed Hyperlink 4" xfId="117" xr:uid="{00000000-0005-0000-0000-0000B5020000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17" builtinId="8"/>
    <cellStyle name="Hyperlink 2" xfId="42" xr:uid="{00000000-0005-0000-0000-0000BC020000}"/>
    <cellStyle name="Hyperlink 3" xfId="69" xr:uid="{00000000-0005-0000-0000-0000BD020000}"/>
    <cellStyle name="Hyperlink 4" xfId="78" xr:uid="{00000000-0005-0000-0000-0000BE020000}"/>
    <cellStyle name="Hyperlink 5" xfId="87" xr:uid="{00000000-0005-0000-0000-0000BF020000}"/>
    <cellStyle name="Hyperlink 6" xfId="116" xr:uid="{00000000-0005-0000-0000-0000C0020000}"/>
    <cellStyle name="Hyperlink 7" xfId="796" xr:uid="{00000000-0005-0000-0000-0000C102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103" xr:uid="{00000000-0005-0000-0000-0000C6020000}"/>
    <cellStyle name="Normal 2 2" xfId="411" xr:uid="{00000000-0005-0000-0000-0000C7020000}"/>
    <cellStyle name="Normal 2 2 2" xfId="412" xr:uid="{00000000-0005-0000-0000-0000C8020000}"/>
    <cellStyle name="Normal 3" xfId="46" xr:uid="{00000000-0005-0000-0000-0000C9020000}"/>
    <cellStyle name="Normal 4" xfId="118" xr:uid="{00000000-0005-0000-0000-0000CA020000}"/>
    <cellStyle name="Normal 4 2" xfId="230" xr:uid="{00000000-0005-0000-0000-0000CB020000}"/>
    <cellStyle name="Normal 4 2 2" xfId="768" xr:uid="{00000000-0005-0000-0000-0000CC020000}"/>
    <cellStyle name="Normal 4 3" xfId="315" xr:uid="{00000000-0005-0000-0000-0000CD020000}"/>
    <cellStyle name="Normal 4 3 2" xfId="769" xr:uid="{00000000-0005-0000-0000-0000CE020000}"/>
    <cellStyle name="Normal 4 4" xfId="397" xr:uid="{00000000-0005-0000-0000-0000CF020000}"/>
    <cellStyle name="Normal 4 4 2" xfId="770" xr:uid="{00000000-0005-0000-0000-0000D0020000}"/>
    <cellStyle name="Normal 4 5" xfId="498" xr:uid="{00000000-0005-0000-0000-0000D1020000}"/>
    <cellStyle name="Normal 5" xfId="132" xr:uid="{00000000-0005-0000-0000-0000D2020000}"/>
    <cellStyle name="Normal 5 2" xfId="413" xr:uid="{00000000-0005-0000-0000-0000D3020000}"/>
    <cellStyle name="Normal 5 3" xfId="512" xr:uid="{00000000-0005-0000-0000-0000D4020000}"/>
    <cellStyle name="Normal 6" xfId="133" xr:uid="{00000000-0005-0000-0000-0000D5020000}"/>
    <cellStyle name="Normal 6 2" xfId="513" xr:uid="{00000000-0005-0000-0000-0000D6020000}"/>
    <cellStyle name="Normal 7" xfId="185" xr:uid="{00000000-0005-0000-0000-0000D7020000}"/>
    <cellStyle name="Normal 8" xfId="414" xr:uid="{00000000-0005-0000-0000-0000D8020000}"/>
    <cellStyle name="Normal 8 2" xfId="792" xr:uid="{00000000-0005-0000-0000-0000D9020000}"/>
    <cellStyle name="Normal_Benefit rates" xfId="795" xr:uid="{00000000-0005-0000-0000-0000DA020000}"/>
    <cellStyle name="Note 10" xfId="415" xr:uid="{00000000-0005-0000-0000-0000DB020000}"/>
    <cellStyle name="Note 10 2" xfId="520" xr:uid="{00000000-0005-0000-0000-0000DC020000}"/>
    <cellStyle name="Note 2" xfId="41" xr:uid="{00000000-0005-0000-0000-0000DD020000}"/>
    <cellStyle name="Note 2 2" xfId="158" xr:uid="{00000000-0005-0000-0000-0000DE020000}"/>
    <cellStyle name="Note 2 2 2" xfId="771" xr:uid="{00000000-0005-0000-0000-0000DF020000}"/>
    <cellStyle name="Note 2 3" xfId="247" xr:uid="{00000000-0005-0000-0000-0000E0020000}"/>
    <cellStyle name="Note 2 3 2" xfId="772" xr:uid="{00000000-0005-0000-0000-0000E1020000}"/>
    <cellStyle name="Note 2 4" xfId="331" xr:uid="{00000000-0005-0000-0000-0000E2020000}"/>
    <cellStyle name="Note 2 4 2" xfId="773" xr:uid="{00000000-0005-0000-0000-0000E3020000}"/>
    <cellStyle name="Note 2 5" xfId="431" xr:uid="{00000000-0005-0000-0000-0000E4020000}"/>
    <cellStyle name="Note 3" xfId="47" xr:uid="{00000000-0005-0000-0000-0000E5020000}"/>
    <cellStyle name="Note 3 2" xfId="163" xr:uid="{00000000-0005-0000-0000-0000E6020000}"/>
    <cellStyle name="Note 3 2 2" xfId="774" xr:uid="{00000000-0005-0000-0000-0000E7020000}"/>
    <cellStyle name="Note 3 3" xfId="251" xr:uid="{00000000-0005-0000-0000-0000E8020000}"/>
    <cellStyle name="Note 3 3 2" xfId="775" xr:uid="{00000000-0005-0000-0000-0000E9020000}"/>
    <cellStyle name="Note 3 4" xfId="334" xr:uid="{00000000-0005-0000-0000-0000EA020000}"/>
    <cellStyle name="Note 3 4 2" xfId="776" xr:uid="{00000000-0005-0000-0000-0000EB020000}"/>
    <cellStyle name="Note 3 5" xfId="434" xr:uid="{00000000-0005-0000-0000-0000EC020000}"/>
    <cellStyle name="Note 4" xfId="45" xr:uid="{00000000-0005-0000-0000-0000ED020000}"/>
    <cellStyle name="Note 4 2" xfId="162" xr:uid="{00000000-0005-0000-0000-0000EE020000}"/>
    <cellStyle name="Note 4 2 2" xfId="777" xr:uid="{00000000-0005-0000-0000-0000EF020000}"/>
    <cellStyle name="Note 4 3" xfId="250" xr:uid="{00000000-0005-0000-0000-0000F0020000}"/>
    <cellStyle name="Note 4 3 2" xfId="778" xr:uid="{00000000-0005-0000-0000-0000F1020000}"/>
    <cellStyle name="Note 4 4" xfId="333" xr:uid="{00000000-0005-0000-0000-0000F2020000}"/>
    <cellStyle name="Note 4 4 2" xfId="779" xr:uid="{00000000-0005-0000-0000-0000F3020000}"/>
    <cellStyle name="Note 4 5" xfId="433" xr:uid="{00000000-0005-0000-0000-0000F4020000}"/>
    <cellStyle name="Note 5" xfId="44" xr:uid="{00000000-0005-0000-0000-0000F5020000}"/>
    <cellStyle name="Note 5 2" xfId="161" xr:uid="{00000000-0005-0000-0000-0000F6020000}"/>
    <cellStyle name="Note 5 2 2" xfId="780" xr:uid="{00000000-0005-0000-0000-0000F7020000}"/>
    <cellStyle name="Note 5 3" xfId="249" xr:uid="{00000000-0005-0000-0000-0000F8020000}"/>
    <cellStyle name="Note 5 3 2" xfId="781" xr:uid="{00000000-0005-0000-0000-0000F9020000}"/>
    <cellStyle name="Note 5 4" xfId="332" xr:uid="{00000000-0005-0000-0000-0000FA020000}"/>
    <cellStyle name="Note 5 4 2" xfId="782" xr:uid="{00000000-0005-0000-0000-0000FB020000}"/>
    <cellStyle name="Note 5 5" xfId="432" xr:uid="{00000000-0005-0000-0000-0000FC020000}"/>
    <cellStyle name="Note 6" xfId="89" xr:uid="{00000000-0005-0000-0000-0000FD020000}"/>
    <cellStyle name="Note 6 2" xfId="203" xr:uid="{00000000-0005-0000-0000-0000FE020000}"/>
    <cellStyle name="Note 6 2 2" xfId="783" xr:uid="{00000000-0005-0000-0000-0000FF020000}"/>
    <cellStyle name="Note 6 3" xfId="289" xr:uid="{00000000-0005-0000-0000-000000030000}"/>
    <cellStyle name="Note 6 3 2" xfId="784" xr:uid="{00000000-0005-0000-0000-000001030000}"/>
    <cellStyle name="Note 6 4" xfId="371" xr:uid="{00000000-0005-0000-0000-000002030000}"/>
    <cellStyle name="Note 6 4 2" xfId="785" xr:uid="{00000000-0005-0000-0000-000003030000}"/>
    <cellStyle name="Note 6 5" xfId="471" xr:uid="{00000000-0005-0000-0000-000004030000}"/>
    <cellStyle name="Note 7" xfId="102" xr:uid="{00000000-0005-0000-0000-000005030000}"/>
    <cellStyle name="Note 7 2" xfId="216" xr:uid="{00000000-0005-0000-0000-000006030000}"/>
    <cellStyle name="Note 7 2 2" xfId="786" xr:uid="{00000000-0005-0000-0000-000007030000}"/>
    <cellStyle name="Note 7 3" xfId="302" xr:uid="{00000000-0005-0000-0000-000008030000}"/>
    <cellStyle name="Note 7 3 2" xfId="787" xr:uid="{00000000-0005-0000-0000-000009030000}"/>
    <cellStyle name="Note 7 4" xfId="384" xr:uid="{00000000-0005-0000-0000-00000A030000}"/>
    <cellStyle name="Note 7 4 2" xfId="788" xr:uid="{00000000-0005-0000-0000-00000B030000}"/>
    <cellStyle name="Note 7 5" xfId="484" xr:uid="{00000000-0005-0000-0000-00000C030000}"/>
    <cellStyle name="Note 8" xfId="119" xr:uid="{00000000-0005-0000-0000-00000D030000}"/>
    <cellStyle name="Note 8 2" xfId="231" xr:uid="{00000000-0005-0000-0000-00000E030000}"/>
    <cellStyle name="Note 8 2 2" xfId="789" xr:uid="{00000000-0005-0000-0000-00000F030000}"/>
    <cellStyle name="Note 8 3" xfId="316" xr:uid="{00000000-0005-0000-0000-000010030000}"/>
    <cellStyle name="Note 8 3 2" xfId="790" xr:uid="{00000000-0005-0000-0000-000011030000}"/>
    <cellStyle name="Note 8 4" xfId="398" xr:uid="{00000000-0005-0000-0000-000012030000}"/>
    <cellStyle name="Note 8 4 2" xfId="791" xr:uid="{00000000-0005-0000-0000-000013030000}"/>
    <cellStyle name="Note 8 5" xfId="499" xr:uid="{00000000-0005-0000-0000-000014030000}"/>
    <cellStyle name="Note 9" xfId="416" xr:uid="{00000000-0005-0000-0000-000015030000}"/>
    <cellStyle name="Note 9 2" xfId="514" xr:uid="{00000000-0005-0000-0000-000016030000}"/>
    <cellStyle name="Output" xfId="10" builtinId="21" customBuiltin="1"/>
    <cellStyle name="Percent" xfId="794" builtinId="5"/>
    <cellStyle name="Percent 2" xfId="418" xr:uid="{00000000-0005-0000-0000-000019030000}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00FF99"/>
      <color rgb="FF33CC33"/>
      <color rgb="FF00FF00"/>
      <color rgb="FF006600"/>
      <color rgb="FF3301BF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8466</xdr:colOff>
      <xdr:row>23</xdr:row>
      <xdr:rowOff>127001</xdr:rowOff>
    </xdr:from>
    <xdr:to>
      <xdr:col>4</xdr:col>
      <xdr:colOff>67733</xdr:colOff>
      <xdr:row>24</xdr:row>
      <xdr:rowOff>42333</xdr:rowOff>
    </xdr:to>
    <xdr:cxnSp macro="">
      <xdr:nvCxnSpPr>
        <xdr:cNvPr id="2" name="Curved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088466" y="3598334"/>
          <a:ext cx="287867" cy="203199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143935</xdr:colOff>
      <xdr:row>23</xdr:row>
      <xdr:rowOff>237067</xdr:rowOff>
    </xdr:from>
    <xdr:to>
      <xdr:col>7</xdr:col>
      <xdr:colOff>237067</xdr:colOff>
      <xdr:row>44</xdr:row>
      <xdr:rowOff>115769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2535" y="3708400"/>
          <a:ext cx="5079999" cy="32399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279400</xdr:colOff>
      <xdr:row>23</xdr:row>
      <xdr:rowOff>118534</xdr:rowOff>
    </xdr:from>
    <xdr:to>
      <xdr:col>6</xdr:col>
      <xdr:colOff>568503</xdr:colOff>
      <xdr:row>44</xdr:row>
      <xdr:rowOff>98474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0867" y="3589867"/>
          <a:ext cx="4488569" cy="300254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23</xdr:row>
      <xdr:rowOff>67734</xdr:rowOff>
    </xdr:from>
    <xdr:to>
      <xdr:col>4</xdr:col>
      <xdr:colOff>211666</xdr:colOff>
      <xdr:row>24</xdr:row>
      <xdr:rowOff>127000</xdr:rowOff>
    </xdr:to>
    <xdr:cxnSp macro="">
      <xdr:nvCxnSpPr>
        <xdr:cNvPr id="11" name="Curved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>
          <a:off x="4758267" y="3539067"/>
          <a:ext cx="414866" cy="203200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23</xdr:row>
      <xdr:rowOff>67734</xdr:rowOff>
    </xdr:from>
    <xdr:to>
      <xdr:col>4</xdr:col>
      <xdr:colOff>211666</xdr:colOff>
      <xdr:row>24</xdr:row>
      <xdr:rowOff>127000</xdr:rowOff>
    </xdr:to>
    <xdr:cxnSp macro="">
      <xdr:nvCxnSpPr>
        <xdr:cNvPr id="3" name="Curved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4833620" y="3550074"/>
          <a:ext cx="414866" cy="204046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355600</xdr:colOff>
      <xdr:row>23</xdr:row>
      <xdr:rowOff>93134</xdr:rowOff>
    </xdr:from>
    <xdr:to>
      <xdr:col>7</xdr:col>
      <xdr:colOff>538672</xdr:colOff>
      <xdr:row>45</xdr:row>
      <xdr:rowOff>67733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3267" y="3564467"/>
          <a:ext cx="5042938" cy="31411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8466</xdr:colOff>
      <xdr:row>24</xdr:row>
      <xdr:rowOff>127001</xdr:rowOff>
    </xdr:from>
    <xdr:to>
      <xdr:col>4</xdr:col>
      <xdr:colOff>67733</xdr:colOff>
      <xdr:row>25</xdr:row>
      <xdr:rowOff>42333</xdr:rowOff>
    </xdr:to>
    <xdr:cxnSp macro="">
      <xdr:nvCxnSpPr>
        <xdr:cNvPr id="2" name="Curved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>
          <a:off x="4951941" y="3727451"/>
          <a:ext cx="278342" cy="220132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</xdr:colOff>
      <xdr:row>25</xdr:row>
      <xdr:rowOff>0</xdr:rowOff>
    </xdr:from>
    <xdr:to>
      <xdr:col>9</xdr:col>
      <xdr:colOff>487681</xdr:colOff>
      <xdr:row>60</xdr:row>
      <xdr:rowOff>108485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54119FA-4C40-4003-9DD0-A747C5FA6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8761" y="3771900"/>
          <a:ext cx="6736080" cy="53662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11</xdr:col>
      <xdr:colOff>513448</xdr:colOff>
      <xdr:row>55</xdr:row>
      <xdr:rowOff>21998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D226E30-59B9-491B-9D16-9A0C0501B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46960"/>
          <a:ext cx="7219048" cy="68952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8466</xdr:colOff>
      <xdr:row>24</xdr:row>
      <xdr:rowOff>127001</xdr:rowOff>
    </xdr:from>
    <xdr:to>
      <xdr:col>4</xdr:col>
      <xdr:colOff>67733</xdr:colOff>
      <xdr:row>25</xdr:row>
      <xdr:rowOff>42333</xdr:rowOff>
    </xdr:to>
    <xdr:cxnSp macro="">
      <xdr:nvCxnSpPr>
        <xdr:cNvPr id="2" name="Curved Connector 1">
          <a:extLst>
            <a:ext uri="{FF2B5EF4-FFF2-40B4-BE49-F238E27FC236}">
              <a16:creationId xmlns:a16="http://schemas.microsoft.com/office/drawing/2014/main" id="{223BD9A0-FDB0-40D9-A875-B5271AFC9E16}"/>
            </a:ext>
          </a:extLst>
        </xdr:cNvPr>
        <xdr:cNvCxnSpPr/>
      </xdr:nvCxnSpPr>
      <xdr:spPr>
        <a:xfrm>
          <a:off x="4951941" y="3917951"/>
          <a:ext cx="287867" cy="220132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247650</xdr:colOff>
      <xdr:row>24</xdr:row>
      <xdr:rowOff>276225</xdr:rowOff>
    </xdr:from>
    <xdr:to>
      <xdr:col>9</xdr:col>
      <xdr:colOff>228600</xdr:colOff>
      <xdr:row>54</xdr:row>
      <xdr:rowOff>53612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A50136D-8826-49A8-97E9-0E4001C65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9725" y="4067175"/>
          <a:ext cx="6057900" cy="46732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8466</xdr:colOff>
      <xdr:row>24</xdr:row>
      <xdr:rowOff>127001</xdr:rowOff>
    </xdr:from>
    <xdr:to>
      <xdr:col>4</xdr:col>
      <xdr:colOff>67733</xdr:colOff>
      <xdr:row>25</xdr:row>
      <xdr:rowOff>42333</xdr:rowOff>
    </xdr:to>
    <xdr:cxnSp macro="">
      <xdr:nvCxnSpPr>
        <xdr:cNvPr id="2" name="Curved Connector 1">
          <a:extLst>
            <a:ext uri="{FF2B5EF4-FFF2-40B4-BE49-F238E27FC236}">
              <a16:creationId xmlns:a16="http://schemas.microsoft.com/office/drawing/2014/main" id="{083454B7-C96F-478B-9F45-6065DA72B236}"/>
            </a:ext>
          </a:extLst>
        </xdr:cNvPr>
        <xdr:cNvCxnSpPr/>
      </xdr:nvCxnSpPr>
      <xdr:spPr>
        <a:xfrm>
          <a:off x="4951941" y="3917951"/>
          <a:ext cx="287867" cy="220132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0</xdr:colOff>
      <xdr:row>25</xdr:row>
      <xdr:rowOff>0</xdr:rowOff>
    </xdr:from>
    <xdr:to>
      <xdr:col>8</xdr:col>
      <xdr:colOff>681990</xdr:colOff>
      <xdr:row>39</xdr:row>
      <xdr:rowOff>53340</xdr:rowOff>
    </xdr:to>
    <xdr:sp macro="" textlink="">
      <xdr:nvSpPr>
        <xdr:cNvPr id="135173" name="AutoShape 5" descr="data:image/png;base64,iVBORw0KGgoAAAANSUhEUgAABhsAAAJXCAYAAACKZOUoAAAAAXNSR0IArs4c6QAAIABJREFUeF7s3Xt8VNW9//+3nl971IMcKlSNCl4qFyVaAcV6aRtBI9Ybhdaeag1K1LYqYP2SKAreQIGEL1Uu1guhEKs9RUnBS5EoMVXRI4pwFCwJ/tCKGu1RSylq9fQHv8ee656ZfVl7Zs8wk7zyV+vsvfZaz7X2nuHz2WutPXbt2rVL/CGAAAIIIIAAAggggAACCCCAAAIIIIAAAggggAACWQrsQbIhSzlOQwABBBBAAAEEEEAAAQQQQAABBBBAAAEEEEAAgYgAyQYGAgIIIIAAAggggAACCCCAAAIIIIAAAggggAACCOQkQLIhJz5ORgABBBBAAAEEEEAAAQQQQAABBBBAAAEEEEAAAZINjAEEEEAAAQQQQAABBBBAAAEEEEAAAQQQQAABBBDISYBkQ058nIwAAggggAACCCCAAAIIIIAAAggggAACCCCAAAIkGxgDCCCAAAIIIIAAAggggAACCCCAAAIIIIAAAgggkJMAyYac+DgZAQQQQAABBBBAAAEEEEAAAQQQQAABBBBAAAEESDYwBhBAAAEEEEAAAQQQQAABBBBAAAEEEEAAAQQQQCAnAZINOfFxMgIIIIAAAggggAACCCCAAAIIIIAAAggggAACCJBsYAwggAACCCCAAAIIIIAAAggggAACCCCAAAIIIIBATgIkG3Li42QEEEAAAQQQQAABBBBAAAEEEEAAAQQQQAABBBAg2cAYQAABBBBAAAEEEEAAAQQQQAABBBBAAAEEEEAAgZwESDbkxMfJCCCAAAIIIIAAAggggAACCCCAAAIIIIAAAgggQLKBMYAAAggggAACCCCAAAIIIIAAAggggAACCCCAAAI5CZBsyImPkxFAAAEEEEAAAQQQQAABBBBAAAEEEEAAAQQQQIBkA2MAAQQQQAABBBBAAAEEEEAAAQQQQAABBBBAAAEEchIg2ZATHycjgAACCCCAAAIIIIAAAggggAACCCCAAAIIIIAAyQbGAAIIIIAAAggggAACCCCAAAIIIIAAAggggAACCOQkQLIhJz5ORgABBBBAAAEEEEAAAQQQQAABBBBAAAEEEEAAAZINjAEEEECgSwjs1I72Vi1pmKnquuZkiysb1LZirPrt2SUQko3c3qLrBgxXXccQ1a56UjOH9epiANk29yO1XDdCw+vWqqx2lTbNHKbu2RbFeTkI7NT2lskaMHy6OsomadWmaRrWvVhuYsZIDh3LqQgggAACCCCAAAIIIIBASQuQbCjp7qPyCCCAgJnAzveadPkJo7XijEVqmX+xBnQrlsCkWf1DP4pkQ5akBJKzhAv5NJINIYNSHAIIIIAAAggggAACCCCAQAgCJZBs+FIda5/W6md+p/E1jepINLpcVfWTNOq003TukDI5h83+ofaFVepf/bAzVVmV6udcqvNGfEf9DAJvOzvW6rEX27R5+XTVNG6wlVmmitpbNe7E/dWj/DQN6+f3nueXeq/pWp0wer46ZPJWrb0dZ6v+ld9o4pAeLt1vC0BkvLFsKyf9TchE4M1sVPm+0brzz2q6/ByNXrhB8nrrcucmLTxrmKqbkz1rVgOllLuzfaHO6l+tZl/PXMaTlLxOmSrql+mxiUPVza3CCdMfqqGtUWP77WXcNO8Dk8E+eb6V7jUWcqlKMQe5cmlX/NzO2L74vf+8KhtatGLsAJdnpptfWM+gMPonpDIKlmyIPnNefOsNLR9fo0b7oy7yHXS+jthzP5VXmn0PhdT6HIrxSjZ0xnsnByrTU3d2aO1jL+qtzcvTfudIZVX1mnP+EdqzR7kqh/Wzfd8UszUJKdOu5zgEEEAAAQQQQAABBBBAoLMJFHWyYWfHat11/c90beNBqm0YpwvOqtSQsq9G+sAK/C97cI6urmmUquZp2YzLNTT2WbKT3ILracuJVNyiVQ9N0rCM82Ml7ezQmruu18hrG9VRUauGKdW6IOUf/dvV3vKMNmz7VFuWL9b/jHnQe0mOtAC7b+BeaUmTitl65bEJGuKYIMky2eA7soMlSJJBeatgk4RKegVMA+rR80ySDbmPJ/t1rKv6JH46bbLBd7B07gMS9+9BpbP8Ts51DusZVJihkXgeeCU6C5BsSD5zPlZF7TRNqf5BajJ6R7tamjdo284tWn79JxrzajEthePWVwSSjcaX0VD/Uh1r7tf1I69WY0elahuuU/UFFbaXH6zfKs+qecMn2rllua7/nzF6NbFsVddMNpjYmxxj1D0chAACCCCAAAIIIIAAAgggEFigaJMNOzue0uQLx2h66zGatGqhpg072OFN3C/V0TJdFw6/Ra2OCQOPN/kjEerkW/WuAf+d76ll8lgNn/66KiYt1kPTzlBZTquP7NSOtXfp3OOvVWuiu/zefE+foeH1Vn1+kg3xJVgWdkhlY5fq5ftH6WBXh21aO+snOr7mieSADLwufLjJhnDGU3qyQZJX4odkQ+AHUkmcUIAgdegOYScblO0zKPSWORRoGITNcz+aPXMK4RH2Nbp6ssFwfPmy+/1+8SsgrHr4XSebz/M1RkzabHJMNm3iHAQQQAABBBBAAAEEEEAAAROB4kw2JJbg+dh/qRolA9uZQXCfZIN9xoBjMNz2Nr/nbAIT6vgx8X+Ev6/K6eNVPmeSZneU+Sxt4rQclNtb9XlINqQsiXSVlr48W6MOjs4wcfxLBPFGanr9wZpTYy0X5ZdQSS8pxGRDaOPJIdngFXQl2RDkxiidY/McpM4LRM51DusZlJfWpRVqGGzM2cSjLYGeOYUwCfMa+Qokh1nHfJZlOL58qpBM4PstjehWUDj1yI9UvsaISZtNjslPqykVAQQQQAABBBBAAAEEEEBAKsJkQ/B/KLr/oz3HZEMiGFWusUsf1/2jDg24znnmEEvUVVbQ/g6Vr7wsuqeE13IftqRIWdW1+vE7v9Xs1g6Xt+rDTjbYl08ycUgeL2sGxL1Ha+XZ0T0Z/JeLsnuFlWwIczzZkg1lF6r2xx+pbnaz+3JKnsmGXIIxpjZeYyH9+hXas71VSxpmqrrOapO1D8lMzbrmR4mly5K942xqtnRF/LrKXIIosm7541py582qs8a3VYuqes0bf5FGOu3Lkh4sHvqJWpY0aGp1nVoz7idr3fxmrVgyN9a+eGucEn1uY8Z7D5jI+J5+kB6J7EHS0+OZYZvdFHjGT3RZlScf/XXK2u6Rdd3HnKcRKcu7WW20jZWMx5FfktN+QrLtuT2D4mUGbYd1Xnq/3KahHzybGLOp/k57wKQt55aRbPiq2lseUcPUybHxV6naRVN1zcVDA85ms9fTIDnr+kskttfDf/9Rc60xHT/OcSm/+Ifp9/Xx+iDRJqdlv6wlAFfo0cXTbPsQWfshTdaY885y2X8o2z0bHO6rPd9M3rNWEypqtWjWNbrYZR+m6L5Jr+qFuclnhOS0/FCAn3eR585q/fcL99ueDdbzz2HZK889hoIsF2gz9J0pGCDZEMgzn+PL5Pst4DPAxL7iI489oJz7JzKmVizRnYl7zBr/t2r8Rec4fPcFGFccigACCCCAAAIIIIAAAgh0UYEiTDaYBlJtPea6HJJfssE2yyBj01RbYCTwW/luo8kWsLMCkzOHqZvRxsb285r18gUb9JPIMkxOS5mEnGzYsUazzh2pGiv4axIYzViupVtyk27PhEq6WbBx4L5nQ7ByIrXwWF4rJaD+8nl69SejojZOM1+KemaDPRj0hFrOXKfpK/tofCy5kEiK9XfaH8QlGG+yVE/cRJO0apNtffodG7Twqh+r+p1ztfTe6zXK2mR9xyY1TZ2g0XXvOwfu7cHipdPV/6UX9C8XXOEQqIwnwJrUv3ae7p0y0mdDeJ8Elecb8bZnjuv9Erf/ImASM7nsSpt9nxorWPrAnZp4SZ3aqhapZf7FGpC+n0vOb/GH9QyybrBs22Hvl1otbTpaLz26py4Yl54QM0ww2k2a79eZz9yrlf3HxpILtjHjtxF8xuM+i2dORhlWG+ZpxtsH6cRvnqJz48H3+H3SKJexY7+vH1ZT/9f06L+co3FOCZPEEoHvq2r2PZox4ZRIUmVnxxo9cOcUXVL3vqoafqv5Y8ttmxJbFQ0n2dDc8l09M/2P6j9+XPSeTcwGOVT1r/xGE4f0SFXZ3qpZMzbriBMH66Rzh8QSQNu1aeEvNKx6oQXis7yf0/fyR2qZda/ePmKQvnnS6bHg8k7t2PSArhp2iRojLwWkz+QzHF9ePyoTYy9Iwi+9wNR6BPPM9/jySzaE8QxI+w5J8Jj2T7yfJ+mdi+PfC9KO9mWa+tOrVdc2yn8WZxf9hwPNRgABBBBAAAEEEEAAAQS8BIov2ZD4R7gCvAnvFtzxSjbY3i52XCLJVmagILkHdyJwPzgZTLEtUeS+F0J6kmKwNif2REhfgiHMZIN97wWTpR6cTZMzT0xmRsT9ggXsXJMNoY4n+8wGK9Bxm4Zunhvbf8Mh8VMqyYaKSp120kTNStmPxDARl3JvZCbTuqfcDskA7jEpyb34OFNmkDGRnHAI+iV8v6GKygs0buEtzst7JZIgp6qhrVFj++3l862QS7LBvtSWy9JhbgkXz1r5Pa/ihq86Lz0XarLBSpRm+wzKpR32fjlZlRfXauH08x32jjEMNtrHT8WJOmlKXereQNnev1k9c8x/qHjPILIFeStG6uJxd2q644w8n/Hi9F2VqGIYyYaTVXHa9zRlVo2GlcWX5PP67vLwMUlymvPGjvR6lhmOL9dr2l9kCDIbwivZEJ5nOOPLe4wk9q1y/O3lNTZN7E2OkRQf46rRK49N0JBEgjZ5fnYJrMCDjRMQQAABBBBAAAEEEEAAgU4lUMTJhiBv/LklFVz++472xNINKW8Ip3RtsGC3/6hwC6SYzKBwCHzYZxyk/IM9rGSDfSNrr81g7S13C1BnYxnsHP9kQxjjKT3ZYL2Zv922GXZaQibbYKXvYDK1MVtGyXmT6+wCip6BKpegv1lw6/3MfU0MlzlLjg3TfUNySzYk3/x2qLNsy4zFZjelJmRcOt+2B0Blxiys2Dle4y30ZMMwdc/mGZRTO0yXJzIMNtreLq9wmr2QrVkob627PwS8x7PZ8jzJBLDbPWH27MhcGs/L3v5d55S8Nuy3jJj7ptjSOdbkuxatGDsg5+UO5bmfU5b1TNTb5Dvf90sgdVkxhecZxvjynP0S2jMgl5kNPonxvH13m/QrxyCAAAIIIIAAAggggAACpS1QdMmG5D90swwOpyx5ZLDG+sxhcgz22dcHNlk+yHcceCyd4hf0su/ZkAhQuiUDQko22Ntvujm261vofkEmJzzTgHr0XLdkQ7jjySnZsGfyDcn05ZTyFrAwtck2YGiJZpds8Aq0J/oi5X7yW3bIox6mwWD7slj25Ydc79lckw2289PvnURdbLObfJ8dBrMlIjeBR9DV1Mq1Lk7BueDPIKPEj2s7TIO8hsf5mfh97pYXSiyNF+Q7zGAQxA4xDga7JrP87rn0Z2p6QiLbZ4Nfv/h97gZeaskG++8S0wSoU9v9vPw+d/bMfXx5f3/k/xlg0G6vZ6VV/SzvffO7mCMRQAABBBBAAAEEEEAAgc4rUHTJhuQ/8oIEaoLMbJASU/gd3waMd7ZpQDd2vDVbonmDtmkvHZpY+zk5cLzf3vbbW8LtLTynZY66a3vLZA0YPl0dGUkSv+vE6xt0U2jrPJ83BT32QXC+vYL5776ZDXtG3jBNjinbLJAumWxwS3DEx+oHaRtD2/rZ5zmb8Ra1cUDI3j/WRazNX2/VNReck1wLP+XauSYb3INVzgkXvy8Y0zehQ0jMuFYljGdQru0wCCJG6m94nN/48fvczSrMmQ2RzYtf1Fubl6dsCB69tFOg2m+tfOs8w2era/t3Z7IhtqnxW29o+fgaNabsAx7kN0Nq50U3nm7T5uXTbRtlx47J+B41HF+u95LpfRDgueC41KNBPfMyvlLHWOpz27TtbmPMoE0m979tqTNv5VyWufLrPz5HAAEEEEAAAQQQQAABBDqnQBEnG/K5Z4MtSO/61n6wPRvcNyi2Bo73DIvUoeX0j1uPQH7GUibj1HfNTTklG5JLbEju+0ik3RD2mRB+94rRHhiGAbHYtfyTDWGMJ5eZDZE6OCR++r6q6wYMV11HLm+vOmGa2uyOmQ32QLut3a77FJi2xcEhUDB4p3a0P6V7bp9oCyZaSQenDaNDSDY4zgzx2gfD66YJHqDL2Mw9kJVTXcJ4BuXaDpNAo1V3w+P8TPw+d+uyUPZssMZrbKPa1p6qqr9V4y86J7KBce5vnhvec65Jk92UbEhsGN+ssqp6zRt/kUZGNpbOZWbDdrU3zdBPR09Xa1mV6ueN10Ujrc2nvWZ/GI4vo2RDLsFsv3p4fZ7P8RVusiH1WebXZsP7P8yEoN/vHT5HAAEEEEAAAQQQQAABBLqYQPElG0zfurR3lOtb8+5v8icD6m77EZgGxqIV8Uw2JP5h67HJsm2j6IxAoeesgfS36pv0m8GP6oRsZzbY61HmsCmv4w3isWyM7Xi7uf/a2oYBMb9kQ6jjySvZYNtwMr6c0m/KteSEyjwkG8yWQUkJuma8nev3BnS2AUV7oCm+Z0E/7YjNtlHG0i7B+jll+GUVDLaCbM/qyUd/nXhTPDOhFkaywWGsqDWafJLpfRVvremzaHfMbIgG91Jn9rg9g3Jth0mg0TDYaB3mN378Pnf9sZDDmI6XmUgi99TYpY/rftsmz4VPNqQHxLN9Nvj1n9fnyWRuxv2adbLBNm4zvuvymWywj73sZ2P4J9U8PPM6vsJNNrjOjHB9acFvnIXl38X+tUBzEUAAAQQQQAABBBBAAAFDgSJMNhj8QzGtcckgdnow32vZIPtSQS5JgABvv7knG7zeLk/JmCSXP8pYHsNniaKUt+ordW1tL/227qEsllGyBw3LM4Jc7mPK9I3tIEG4IMd6JXvCHE8+yYb0oOu1P1af385WY+gzG0zblDzOK8ifucmrV7DIJJibNuafGK4NPz1HoxcepYa2Ro3tt5dtKOWwfnnWwWDr8l+qo2W6Lhx+i1oz7rdwkg3JPRQOUu2qP+hG3RmZcZTZF/5P69zWOTcIrPtWIZxnUG7tCD7uO7xmUfmNH7/PXc1MkypuBXh/Z+SebDBLVrpfZzckG7yWpMs62eD1vZXnZEM2SfCM4eJ3P7h9nu/x5f39kf9ngJ+LfX+bDmtXcbWtGKt+1oqI/CGAAAIIIIAAAggggAACCOQsUITJBusfgn9W0+VWcPJjVdQv02MTh6qba1M93ni0L1/kFHSyv8XvuJySbWkcn7f8XZMNiUBI5huqGU1yXX7DL9CX9lZ9vOCgezZkLMk0QUO6+f8LPLkfhd8b2/YgnN/yEWElG8IcT37JBgvevpxSvCPCXkbJZamijAEVHzfPK3MmST5nNtjH42BNbzhJz1RPVrNbUCdAUi+liVkHg2OluJ7vE6xK3NNWEuFJzRzWy+XpZAtYVlyoKj2jxla/c1yKsj0TXWcFeQVkc7Xy25PFqrb9+eH2DMqpHQZBxNh1vffI8et/w8+9vn7ts+3GLtXL94/Swf6P0liJ3smA3JMNUjJB7/Zs8gpIFz7Z4NnmbJMNnucZ9oHRkoDOAyXZpiCJfXtZfveD2+eGbct6TxCrjh5jJKdngMl3sMkxuSYEc/7tTQEIIIAAAggggAACCCCAQKcVKM5kgxUf7nhKky8co+mtx2jSqoWaNuxgZcZqbG8nV9yiVQ9N0rCyr9o6y29DZJeNfe3dvWODFl71Y1U3blBZ1SK1zL9YAxwC8G7JBqOgV+J6/htdO7+FbhWQvgmuHN7Y8/Jw2my6h8HAN0iEpMRH4utrd8i9LanBCpM3D733zAhrPJkEMZyCrnlINiSSGq+6J+TiwbTXR2npy7M16mD7vZHnZEPGPiVey4XYZhkZL90Vwtv6rvtI+AXxTGfy2IO6sZsg6+Ck7f72TIy6jIdCJBuMnkG5tMOvX2wPGpPN2f1M/D73eTomA/rlqmr4reaPLfdImpsGke3P+Ww3iLauFX/eu4yXROJosOpf+Y0mDrF/FxQ+2eC55FWirtZXXotWjB3g8FvBqbO82mH7PnRKkpqML99vT/tzb6waWn6psQO6+56VPMDvfjCY2ZDxPAprfHmPkcSyazk9yzy+V036x/ayifHeVAF6h0MRQAABBBBAAAEEEEAAga4qULTJhkj4vGO17rr+Z7q28SDVNozTBWdVRjbIjH62VssenKOraxqlqnlaNuNyDU1JNFhH+SUb7EGXJyS5LKe0o11P3XO7xtQ0qsPaRHLOpTpvxHfUL5502NmhtQ/cqYmX1KlV9jf2k0FJ/xka0SHo/LajaUA/7a36ADMbktd128PC5RYx2Y8i5VR7n3jNhAhxZkPs+rmPJ8NkQ0bQNR/JBiupEU+EKWUD2ej9sUYP3DlFlzxwiEsQK9/JBvtYluQbZN+uTQt/oWHVC9VRUatFs67Rxdbmr7F7/bEXX9VLW/rq+okVSoTjDIPBO9sX6/KGL3X2yYN10rnW5q+W3SY1TZ2g0XXvOywX5h/ESwbLJmnpvddrVD+3IKFtHCuX9dmtXk0mV9vszzzb86fNLSFqaOX+RRjWMyiXdvj1i732tmC64ybgBsmqnM3s32FWsrpec8acpxHD+tmSDtvV3vKMNmz7i166d6vOfPgWDeu+Z+rsvkmL9dC0M1Qm63vmPi355Did+MX9Gj3pzw5j1+++thntfE8tk8dq+PT3VTX7Hs2YcErk3kg8O+red0mS7IZkg2yB+cSLBVLH2t9p7pLtOu3Ebbpj9GS1BZxFkkwIVSZeapD17Jy7TJ+cNlhf3DFek9qckrUG48voV+WX6lhzv64febUaO8pVVT9ZY847S8Psz5Md7Wpp3qBt217SvW1n6uGZw2LPQL/7weNz++zRvIwvv3GYw7PMnihzu7eNjrF/h36sitqZmnXNj2K/Mb9Ux9qn9eJ/r9OWw36qia6z14w6mYMQQAABBBBAAAEEEEAAgS4lUNTJhmhPRP/Rt/qZ3yU2dI3+d+sf5pM06rTTdG4sKJnZcybJhrQ30T3W77USHFbQ84W5N6vO2gQ48VemitpbNe7EnlKPclXGg0kmb9elV9pxo2jTQJ99yaANAWY22NfNNxv/0VkJFVJs49+OAOsem20UHX6yIffxZJpsiI7b95qu1Qmj56sjp+Uo/PrDClY+redX3qvqumbbkLSSYj/SaaecnkjQpZbkFwzKNqBou4rrxu1ubcrcvFmK3Vv2REH8dONgcLTc5tde0fLxNWqM3LrRcq+54ByH54dfEC/+XHpcD865WTWNGyI1cp6pE/ZyHU5Gcglk25yNrdz6JqxnULz8bNph0i/28dehtcse1Jyr432etnSbn4nf5363ZuLzWELh7Rc0t9pKSNv/KlXbcLlO7NFL5ZW2BLZ1iBVkXtKgqbFzrGTFvPEXaeSQMimRiE9/zvvd1+mVtuq2Qo8unpYYx9HvVoegd+LUbJ8Nfv3n97lV10fUMHVy9PvXSvzPG6+LRg6JJGLW3HW9Rl7b6PK89XrmtGpJw8zY89Nq+60af9E5ijAnEgEOiUIryec1vozHR6yvm1/T2y/dn/oct8qoqFXDuBPVw/7bIlK2n5fP53kdXybjMJtnQAzVxN7kmEhxTvdA9L48+ZunePy+DNLBHIsAAggggAACCCCAAAIIdB2BEkg2dJ3OoKUIINDZBLw3Y+1sraU9CCCAAAIIIIAAAggggAACCCCAAAJdV4BkQ9fte1qOAAL5FkjMVPpXn82k810RykcAAQQQQAABBBBAAAEEEEAAAQQQQCC/AiQb8utL6Qgg0IUFgm0Q34WhaDoCCCCAAAIIIIAAAggggAACCCCAQMkLkGwo+S6kAQggUJwCyQ3bnfdzKM5aUysEEEAAAQQQQAABBBBAAAEEEEAAAQSyESDZkI0a5yCAAAJ+AtlsEO9XJp8jgAACCCCAAAIIIIAAAggggAACCCBQpAIkG4q0Y6gWAggggAACCCCAAAIIIIAAAggggAACCCCAAAKlIkCyoVR6inoigAACCCCAAAIIIIAAAggggAACCCCAAAIIIFCkAiQbirRjqBYCCCCAAAIIIIAAAggggAACCCCAAAIIIIAAAqUiQLKhVHqKeiKAAAIIIIAAAggggAACCCCAAAIIIIAAAgggUKQCJBuKtGOoFgIIIIAAAggggAACCCCAAAIIIIAAAggggAACpSJAsqFUeop6IoAAAggggAACCCCAAAIIIIAAAggggAACCCBQpAIkG4q0Y6gWAggggAACCCCAAAIIIIAAAggggAACCCCAAAKlIkCyoVR6inoigAACCCCAAAIIIIAAAggggAACCCCAAAIIIFCkAiQbirRjqBYCCCCAAAIIIIAAAggggAACCCCAAAIIIIAAAqUiQLKhVHqKeiKAAAIIIIAAAggggAACCCCAAAIIIIAAAgggUKQCJBuKtGOoFgIIIIAAAggggAACCCCAAAIIIIAAAggggAACpSJAsqFUeop6IoAAAggggAACCCCAAAIIIIAAAggggAACCCBQpAIkG4q0Y6gWAggggAACCCCAAAIIIIAAAggggAACCCCAAAKlIkCyoVR6inoigAACCCCAAAIIIIAAAggggAACCCCAAAIIIFCkAiQbirRjqBYCCCCAAAIIIIAAAggggAACCCCAAAIIIIAAAqUiUCLJhi/1XtO1OmH0fHVoiGpXPamZw3oZG+/sWKvHXmzT5uXTVdO4wXZemSpqb9W4E/dXj/LTNKxf95Qyd7Yv1Fn9q9XseKVyVdVP1pjzzso4zzrc+9xkgWW1q7Rp5jBFrrxzkxaeNUzVzR3ebSubpFWbpmlY9z0zzkkpz7WUj9Ry3QgNr1srqUyVDS1aMXaA9owdn03dk+eUqaJ+mR6bOFTd3K6/vUXXDRiuuo4fqqGtUWP7Se0Lq9S/+mHjPk0On90FAAAgAElEQVQeaDoe/mFwDatPJ+n8vv110rlDVBYH8avVzj+r6fJzNHrhBsneN+nnmfav0/US5X5p0A6rAFMXv8bZP9+pHe2tWtIwU9V1sbuirEr188bropEBvCJFbtPaWT/R8TVPSJUNalsxVv1MvbVT21sma8DMI9XqdJ6js6mH8zgxu6+cLL3r6vZsKquq15wx52nEsH7u91H8cjva1bKkQVOr69Qa+W/WOL5V4y86R0PKvurSwV+qY+3TevGtN7R8fI0aE48c7+datDBrHDyr5tdecTh3kkaddprOHVKWeJ4EGWEciwACCCCAAAIIIIAAAggggAACCCBQugKlkWxICx4aB/52dmjNXddr5LWN6qioVcOUal2QErzbrvaWZ7Rh26fasnyx/mfMgylJjGQAPS1QmRLcq9SkVQs1bdjBKcE113O9xoqtneZtTEtQlF2lpS/P1qiD3YKM0s73mnT5CaO1MBJg9Eo2mAZo05MrZ6v+ld9o4pAezq3NSDbs5aISC9QOn64OxRMTbsf63YS2ILJjQsAaC0/r+ZX3RgPpFZO09N7rNSotAeUYTk5JSpmbJcuyJX98A+9+7fBzyPbzL9XRMl0XDn9EfWbfoxkTTlHZnlbQeZmm/vRqPdBnulrmX6wB3UwyBju1Y+1dOvf4a6PBcd82p9fZ8jpfM/s3pCTJHFuWGGu59Yvx/ZhRCY+67tykxZNX6N+O76/DTzo9kRjY2bFGD9w5RZfUNausapGn686OpzT5wjFa1OdGLZtxuYZayYUdm9Q0dYJGP3CIGlp+qbEDUpOoVhV3tj+kyY9Kx6ck1qwExO9058TrVNfaU1UNv9X8seWZyY7trZo1Y7OOOHGwLSlnjYWndM/tE1XTKPdzsx1+nIcAAggggAACCCCAAAIIIIAAAgggUPQCJZBsSAtMRkgNAs8731PL5LEaPv11VUxarIemnWH+pnqs27wTBt5B392WbHBIHqSOwvQ3t/ORbJBUMVuvPDZBQ5yCz0WZbIgrbdemhb/QsOqF6igb6xqsTZra3tCP/8esguexmSa+5+6OZEPyHmwbu1Qv3z9KB9tyCvGx/rrDZ45PwB1rNOvckappjb1O79vmtFIi4+ce9W+1ZsX4JJ92d7IhSF3tzUwkHq1cTOrMo8Rhcce2UZkJxvj5rzt85vO1lHx2GTxn08pKnOs1w6fovxapIAIIIIAAAggggAACCCCAAAIIIIBANgIlkGyIv/X9viqnj1f5nEma3ZEZIE9tvG3ZJa+gt3HQzfmtaK+gXOGTDfuooqKHWlvXer8pnghCHq6Kw99S6wuZwcxs6p659JLHckpFnWywBoUtgeA3fhJtGanp9QdrTo211FfQIG2Rz2xILBN1VGzZq/QAf7z+B3rPaLFoE2VJVbXf1Tt189UaMNkQGWvjpLkmSy/t5mRDoLqmPI9sSSVHn/gzrknHOCYj4rOCFqm/37Jm6c9Bk0SH27MzJ+9svsI4BwEEEEAAAQQQQAABBBBAAAEEEECgWASKPtmQWPJH1vJAd6h85WXRtf293pxNBLzKNXbp47p/1KFZrR/uF3QvrmTDQbq2/nvaUDNVzR7B7midJ+vL6Tfp7GduU01zyMmGsgtV++OPVDfbWtPfZTmlok822JeF8lp+J5nUkvVW/71Ha+XZ0T03gi27U4BkQw5BYP+31ZOBce92JwPkVgB8+Xkb9ENrT5RAyQbrWtUapyn+SyhZT9kc2i0l+yVYf8Yf7wHr6pZscHrWJRICB7nuYePfby5fQ9ks5xYvyvjeLpavQOqBAAIIIIAAAggggAACCCCAAAIIIBCWQJEnGzKDmN0S6+O7BYHDW+ffO9lgu45DsNQvUeHYgdkE+VKCjo06c2WVhte977L0SvyN/X3U8KdJ0oSzVR16smGSVr18nl79yajoMjlOMwOMA5Lh9aUUcPkhk77ICPh2S27eHGgZmQIkG7J+Yvi9YW8VbOsnj3YnEof9o0tsDXp/UXQD9iDJhoj5VGlug/8SSrs72RC0rgGSDUZLHWWbaDEZ+47jKTWZ5LlJfNbjkRMRQAABBBBAAAEEEEAAAQQQQAABBIpVoLiTDYm13Qcnl2dJLMOyQWWOa8TbAreBAr6ZXeSZMHCqm62I3ZNs+INu1J0aYG2o7BXkP6ZBbU+crOcjb+GHPbNhklZtuk1DN8+NbQDssJxSKSQbbG+1O8+ise0lYrNObr4dZFZNMScbzN7u9w1+J+7bQxP3cuKcAMmGwMsSZRtwj9zLZm13e7gHrqu9IPtzrnaVNs0cpuQ2z2bJHWW5HFJyDJtuqm1tDv2snnz01xpf84EuXjRV11w8NPAeOcX6JUm9EEAAAQQQQAABBBBAAAEEEEAAAQTMBIo42eA2c8DvbfcggVtvJOeEwXa1tzyihqmTVdd2hmYvm6EJQ8sylmnK3MMg/VoO+07Y3ih2rVl6YDb97frjX9N1A4arriM9UJhcwz2yxvsl0qKz/JINbrXw2FQ6keDZrrWzfqLja57IXE6pJJINfjMhbHuJpKyZn834C3JO+gbfTn0UdM8Ij/vA8C137+RafEbNn1XV8FvNH1uubtZ8iPgsJeNkQ7TtFW0/Swu+e9R/tyUbsqhrohm2RJbjUmR+YzNWkGHfpeqZ7ldiG7PxAsqqVD9vvC4aOYREg9n3L0chgAACCCCAAAIIIIAAAggggAACnUqgiJMN8WDWF5n7LiQCiA5vzdsD9sZBTOc+9UwY+Mya2D0zG57UzGFSy3UjNLxubdq+ATHPB76lpS/P1qiyLVrom2wwfbPZFji2uyRmf6Qtp1RqyQanPTDibYjsJTJbow7+ajzCq+0tk6OzS9z2rMgYblkmG3KcuWP0JDMMWLuP92TgvC1tJlLgZEOkLtVqu265Zg7rZVT93bZnQzZ1jY+gjqc0+cIxmt7aMyU5k2xwvpINX6qjZbouHH6LWsvGqqHllxo7IDmfwh3cPrOhUR1lVa5JWLNO4ygEEEAAAQQQQAABBBBAAAEEEEAAgVIUKNpkg/fmpl7BtiCBW0k72tXSvEHbtJcOPel0DSmLB41dNglOBNClivplcluXfPclG/ZLBrvtwehYcPyBi2NLsngssZJN3Z37y/6Gti0xVGrJhoygvs+GyIYB+uQDI8iYNQw0h/U0MmyL65iJ3y9to9KSMlnMbLDGzeCndear0zSs+55mLdxdMxuyqas128M30WA123AMGPZdFDLbRIO9G+xlpCfhzLqLoxBAAAEEEEAAAQQQQAABBBBAAAEESlegSJMNJkvFxNHT374PtmeDV2Dd+TO/JU6i9comYJ9cY70jbVaCxwDL2KS4lzLf5o5vXLxFtaus2Q+95LWeezZ1d08O2ZZlib/p3/fV2FJPfsv9+C2ZFeTGMwzQJor0SACYLHcVL8do9kERJxsM9y1w3rMh3vf/q0mrFmrasINTlhsLNrMhOhYGrzxdr6bsX+AzBnZLsiG7upolGiJPF+eEYjqF8Z4NYSQaYhcPlOAIcv9yLAIIIIAAAggggAACCCCAAAIIIIBAsQsUZ7IhESA8O7kxdEYg7c9quvwcjV64wdrhWG0rxqpf5GXnYAHq4MkG6xK2azttxLy7kw22N5/LrM1lpx+kR6wlk16/RKs2xd4KL8jMhlinpS+n9JtyLTmhUnUdRZxscPWxjS+Xvo+MwveadPkJo7Www2FvjoynQjEnG2xJGtdlyZyD3/77lqRDeI0Hy+gSrTxzkfkSSlbxuyXZELyuyUTDMY6JmYzHX3y/C6clvuIHG7XdlmiouEWrHpqkYbbZXcG/wIKM5eClcwYCCCCAAAIIIIAAAggggAACCCCAQPEKFGGywW1j6Ixwm21t/LQgpW1Ph8qUzXszOyKrZENaMNlpOaVsZgeENrMhJdnxQ9239FQ9MnqCXrcSD/G3wguZbFDackrX/lh9fjtbjUWcbHB+U98aP24bQ6ePrSBB1yDHBp2hkfvDx3tJM6t8n2WlHKtgep/HTs5yWaLdkmwIWNegiYaIiNOMpjRn/34LO9Fgvz/WpiWBcx+HlIAAAggggAACCCCAAAIIIIAAAgggUNwCxZdsSATRemZuDJ1umUgqKG3ZIdvSPWXea4dnm2yw1jh/r+lanTB6vuNGwLs72WBPXETZ0hIyBU02WNe3L6cU78hindkQr+urGftyJAO4fmvS22fY+G20XdzJhuRMnqPU0Naosf32SrsT4/U/0H0mUsZzMEiyIXbszCPVmpjBZPhgNXq7362sZL9EZggZLd8UsK6JWVIfe+4Bk1nD+POnScc4JlTjvovU32VvmeTsG48ZZIbMycNMk3GBC+YEBBBAAAEEEEAAAQQQQAABBBBAAIEiFyi6ZIP/27h2UY+3vHds0MKrfqzqxg0qq1qklvkXa0C3zE1ls082WJtLr9Gsc0eqprVDSltSZ7cnG+ybyFpk6UvgFDzZkObllADxCkh7LRdjdJOZzghIvu3dljFuAr7Bb7x+fZEnG2wzU9rGLtXL94/SwbZbKT7WX3f4zL1rgiQbLJ/zNbN/g1aMHZCy74Nv1xc82RCkrraEpceSXK5t9Nh8O5FsfD1zY+5IeVknObzEbTOYfJK8vv3GAQgggAACCCCAAAIIIIAAAggggAACJSdQZMmG5FuxTksTOekmg/rlmTMhdrTrqXtu15iaRnWUVal+zqU6b8R31C+edNjZobUP3KmJl9SpVZlvn/snDNKWB7K9Qex/rkNrjIPTtnM9llNJ1sFh34DdkWxIWU7JakMxzWz4Uh1rm7ViyVxV172uitp5unfKyORYsaprspdISrfaExxeMyGKPdlgNSqehHlEfWbfoxkTTlHZnju1o32Zpv70aj3QZ7prQs/5qRgg2RBxv0f9W51mVfg8cwudbAhS1wDLvbm1Mr4E06I+N2rZjMs11NpvYccmNU2doNEPHKKGll9q7IDuaacH29cm/do72x/S5Eel4/v210nnDlFZJPG0Xe1PNej2MdeqsaPSaN+Jkvu2pMIIIIAAAggggAACCCCAAAIIIIAAAp4CxZVsSATf/ILQ9mC720bRyWN2dqzVYy++qhfm3qw6axZC4q9MFbW3atyJPaUe5aoc1k/d7EUnNmH1WgbHvjxQst7mm+Pa2mpLNniPW1vywGDtdseyjJINfnePQ3vLJiU3oXY83b78lF8/5xYUTb28LfDv1qxIQup89T38JJ07pCztDfoAwXH7GDLaKDrLZINf99hns+QUdI9fyEoutGpJw0xV1zVH/6NlNm+8LhoZDzr7VSpZ1vaWyRowfLo6XDeejh4buZfGSXODLqFknZxTu4Mvo2ReV/vY9jHzu6d2tKtlSYOmVltJU+uvXFX1t2r8RedoiONmz7bx5ndpx+WjrMTc03rxrTe0fHyNGuOP1Mj98yOddsrpLtc1HRschwACCCCAAAIIIIAAAggggAACCCBQigLFlWwoRUHqjAACeRSwkkTVGqcpwZdQymOtnIsupboWHIcLIoAAAggggAACCCCAAAIIIIAAAgh0cgGSDZ28g2keAiUtEJmBM1Wa2+CwMXWRtayU6lpkdFQHAQQQQAABBBBAAAEEEEAAAQQQQKD0BUg2lH4f0gIEOq2A+bJEu5+glOq6+7WoAQIIIIAAAggggAACCCCAAAIIIIBAZxMg2dDZepT2IIAAAggggAACCCCAAAIIIIAAAggggAACCCBQYAGSDQUG53IIIIAAAggggAACCCCAAAIIIIAAAggggAACCHQ2AZINna1HaQ8CCCCAAAIIIIAAAggggAACCCCAAAIIIIAAAgUWINlQYHAuhwACCCCAAAIIIIAAAggggAACCCCAAAIIIIBAZxMg2dDZepT2IIAAAggggAACCCCAAAIIIIAAAggggAACCCBQYAGSDQUG53IIIIAAAggggAACCCCAAAIIIIAAAggggAACCHQ2AZINna1HaQ8CCCCAAAIIIIAAAggggAACCCCAAAIIIIAAAgUWINlQYHAuhwACCCCAAAIIIIAAAggggAACCCCAAAIIIIBAZxMg2dDZepT2IIAAAggggAACCCCAAAIIIIAAAggggAACCCBQYAGSDQUG53IIIIAAAggggAACCCCAAAIIIIAAAggggAACCHQ2AZINna1HaQ8CCCCAAAIIIIAAAggggAACCCCAAAIIIIAAAgUWINlQYHAuhwACCCCAAAIIIIAAAggggAACCCCAAAIIIIBAZxMg2dDZepT2IIAAAggggAACCCCAAAIIIIAAAggggAACCCBQYAGSDQUG53IIIIAAAggggAACCCCAAAIIIIAAAggggAACCHQ2AZINna1HaQ8CCCCAAAIIIIAAAggggAACCCCAAAIIIIAAAgUWINlQYHAuhwACCCCAAAIIIIAAAggggAACCCCAAAIIIIBAZxMg2dDZepT2IIAAAggggAACCCCAAAIIIIAAAggggAACCCBQYAGSDQUG53IIIIAAAggggAACCCCAAAIIIIAAAggggAACCHQ2AZINna1HaQ8CCCCAAAIIIIAAAggggAACCCCAAAIIIIAAAgUWINlQYHAuhwACCCCAAAIIIIAAAggggAACCCCAAAIIIIBAZxMommTDHnvs0dlsaQ8CCCCAAAIIIIAAAggggAACCCCAAAIIIIAAAl1CgGRDl+hmGokAAggggAACCCCAAAIIIIAAAggggAACCCCAQP4ESDbkz5aSEUAAAQQQQAABBBBAAAEEEEAAAQQQQAABBBDoEgIkG7pEN9NIBBBAAAEEEEAAAQQQQAABBBBAAAEEEEAAAQTyJ1A0yYb8NZGSEUAAAQQQQAABBBBAAAEEEEAAAQQQQAABBBBAIJ8CJBvyqUvZCCCAAAIIIIAAAggggAACCCCAAAIIIIAAAgh0AQGSDV2gk2kiAggggAACCCCAAAIIIIAAAggggAACCCCAAAL5FCDZkE9dykYAAQQQQAABBBBAAAEEEEAAAQQQQAABBBBAoAsIkGzoAp1MExFAAAEEEEAAAQQQQAABBBBAAAEEEEAAAQQQyKcAyYZ86lI2AggggAACCCCAAAIIIIAAAggggAACCCCAAAJdQIBkQxfoZJqIAAIIIIAAAggggAACCCCAAAIIIIAAAggggEA+BUg25FOXshFAAAEEEEAAAQQQQAABBBBAAAEEEEAAAQQQ6AICJBu6QCfTRAQQQAABBBBAAAEEEEAAAQQQQAABBBBAAAEE8ilAsiGfupSNAAIIIIAAAggggAACCCCAAAIIIIAAAggggEAXECDZ0AU6mSYigAACCCCAAAIIIIAAAggggAACCCCAAAIIIJBPAZIN+dSlbAQQQAABBBBAAAEEEEAAAQQQQAABBBBAAAEEuoAAyYYu0Mk0EQEEEEAAAQQQQAABBBBAAAEEEEAAAQQQQACBfAqQbMinLmUjgAACCCCAAAIIIIAAAggggAACCCCAAAIIINAFBEg2dIFOpokIIIAAAggggAACCCCAAAIIIIAAAggggAACCORTgGRDPnUpGwEEEEAAAQQQQAABBBBAAAEEEEAAAQQQQACBLiBAsqELdDJNRAABBBBAAAEEEEAAAQQQQAABBBBAAAEEEEAgnwIkG/KpS9kIIIAAAggggAACCCCAAAIIIIAAAggggAACCHQBAZINXaCTaSICCCCAAAIIIIAAAggggAACCCCAAAIIIIAAAvkUINmQT13KRgABBBBAAAEEEEAAAQQQQAABBBBAAAEEEECgCwiQbOgCnUwTEUAAAQQQQAABBBBAAAEEEEAAAQQQQAABBBDIpwDJhnzqUjYCCCCAAAIIIIAAAggggAACCCCAAAIIIIAAAl1AgGRDF+hkmogAAggggAACCCCAAAIIIIAAAggggAACCCCAQD4FSDbkU5eyEUAAAQQQQAABBBBAAAEEEEAAAQQQQAABBBDoAgIllWzYY489ukCX0EQEEEAAAQQQQAABBBBAAAEEEEAAAQQQQAABBEpHYNeuXSLZUDr9RU0RQAABBBBAAAEEEEAAAQQQQAABBBBAAAEEECg6AZINRdclVAgBBBBAAAEEEEAAAQQQQAABBBBAAAEEEEAAgdISINlQWv1FbRFAAAEEEEAAAQQQQAABBBBAAAEEEEAAAQQQKDqBkks2FJ0gFUIAAQQQQAABBBBAAAEEEEAAAQQQQAABBBBAAIHS2rOB/kIAAQQQQAABBBBAAAEEEEAAAQQQQAABBBBAAIHiEyipDaKLj48aIYAAAggggAACCCCAAAIIIIAAAggggAACCCCAAMkGxgACCCCAAAIIIIAAAggggAACCCCAAAIIIIAAAgjkJECyISc+TkYAAQQQQAABBBBAAAEEEEAAAQQQQAABBBBAAAGSDYwBBBBAAAEEEEAAAQQQQAABBBBAAAEEEEAAAQQQyEmAZENOfJyMAAIIIIAAAggggAACCCCAAAIIIIAAAggggAACJBsYAwgggAACCCCAAAIIIIAAAggggAACCCCAAAIIIJCTAMmGnPg4GQEEEEAAAQQQQAABBBBAAAEEEEAAAQQQQAABBEg2MAYQQAABBBBAAAEEEEAAAQQQQAABBBBAAAEEEEAgJwGSDTnxcTICCCCAAAIIIIAAAggggAACCCCAAAIIIIAAAgiQbGAMIIAAAggggAACCCCAAAIIIIAAAggggAACCCCAQE4CJBty4uNkBBBAAAEEEEAAAQQQQAABBBBAAAEEEEAAAQQQKPlkwyeffKI//elP+vDDD1N6s1u3bjrssMPUr18/z15ub2/Xhg0bshoJo0aNCnTeu+++qzfeeEM7duyInPf+++/roIMOSpRRXl6uffbZR4ccckhGuVY7W1tbA13P5OCKigrtt99+kUOdLIK2Mb2cTZs2acCAAZHyrT45+uijHdvnV9dc6uZkl027nOqYS7382hz08zDHcpCyrHHrd5/Z2xLELMix6V5h9bvffXvEEUeoV69eRuM6iGt6e3Ids6bXttpz3HHHGQ0/0zKdCktvT6H6Osw6uz03jfAkBTUoxPeAad397mm3coI+L9zKaW5uTnyXWscccMABOuWUU4yqXwjHsMeZvWG5/u5JR2pqakr8pyCO+SrHqBM5CAEEEEAAAQQQQAABBBBAoCgFSjbZ8Pnnn6uhYb7GjavRN3r31IdbP1Y0hB/926v3QP1j68bI/7759ts1/mc/SwTV7T3R9HC9rrm4Vlu/CNI/ZZI6tGvXLt+TrKDA448/qrtmzdSrr2/S4Qf+u9764G+Z55UdK3W8lvjv19TU6OeXXZYI4ra3r1f//oN8rxf0gDfa2nRULCFjWdx0aa02fmqV0kvSR0ZttI622vnQQw/q1/fdHWnnsWX76LWOz2zV6aZ9D+ylv3/wtoaffZ5unVRrHBiyCkntp27at3cf3XPnVF1okPBJtesrabNxu/w8czHzKzvo56l1MT3b2cO4rNi4/e6Z5+qGa69WZWWl74WDmKUe+zXt27usIP2eft8O6ru/1m3+i0PbDpP0tut9m35Cvp83XvhGfbpPX+mzzTry6OM0Y+oUfe+ss7T33nu7Fhtme8K7x72fz2HWOfPZ5Dv8Ywc419Hv3ijE94BpC9K/R5PfHR4lZPG8cCrt3XffUe/eh6qbFPveP1yHH7OfNr70nOd4jZdVCMewx5lV97B+96Sb1l71ff3h7mXa2O1b+lH1qfrPO+uzGQYKq5ysLs5JCCCAAAIIIIAAAggggAACRSFQkskG603j759bqX98/J42bN1uBGkPqqcHSeZeUavWbUbFxA4yC1g3Nz+pSRMn6IttH2ijYT0Ttfi3gar79W2q+WF09kShgiNJiz6S3jEKyq9e/bzG/7w6QDujgbYfjqnW7Gm3GL0RbgVuUvtpqKQ12rp1q+/5qXYnSnrJqF0mIyK1XuZmJmUHPSbTyKQE92RDsPvCmo3zrmbNnav/c/XVnhcOYrY7+j3M+zYdIsw+Mund7J91X9O+B/bUiDO/q8W/musawA2zPYXq6zDrbPmGWZ7fvVGI74Gg4yo7A/PnhVN95s2dooXTZmndX/4R+/hASR/oqeef1+kGsxsK4RjmuLAaGebvnnTT2mv+Q5sbf6dle4xQ7c1na+Z472e42xgJq5xsxiDnIIAAAggggAACCCCAAAIIFIdAySUbrDf7/uP7p+vPr63Xf0fenD9C0hZZb1YPPdZarmeXVj35eOTt+oHdpI2x6Q5myYZosHjp0qVGveO1rMm8ebMisy6+Jumv8dJ69ZU+2hwJsh+2f3TpInt9U2Y99KhQ3X3jEskGK9AwZ84cz3rV19cr2gLrr1JDz9xL110xxvMc+zJKfoEup4Kamh7U6NE/kSW/KXLAftr3wO6RGQzW7IyvxE7661/e1oLFD6fOeCgbrP4H7KmnH/u9b8LAMXBT9i2NrByo3y9a4NnGrplsyG0sp3pHEzQ1NTUJ579+8p4WNDykgb272xJp0XvxT21tGuCxfFmQcVbofg/7vk0fmE5tD+N5Y/LAcrp2sk+/VH39XRkzr77S60jV10/RhEuqHC8RZnsK1ddh1tlCCbM8v3ujEN8DJmPJe1yH+7xIv5b1G+A7Jw7Urtff0lr7h90r9aNLjzV6K78QjmGOizB/91hl/fKXv9QPfvCDxMzJeXOu0xO31unJ7iM0d9blunp0/CWHdj3yyCO64YYbMoZFWOVkM944BwEEEEAAAQQQQAABBBBAoHgFSi7Z0NzcpF9cVq03tlpTEaJvZTu9Tb1+/Xo99NCiSADN+guSbDBZHsmrS+MB+J6SPo4cGA3Cei3nZC3b8sorr+jhJYsjQVzrr27J0kSywWQI7bHHHinJhpFXHqPfz59lcmrkGL9AV3pBq1f/UaeeWqFEO7sPlbav0SNLlzouv2K1ccb0yaqf9atkUbGEwwurVjoucxU/0Pkt0f0l/UXLVq7U+R7L93TlZEO2Y9kp2ZBeltWf9/xqhn5957W1kl8AACAASURBVDy9+dHn0a7qfZquHDtc82+50XXcBRlnhez3Qty3QdpufOMaHuh3bSt4uGJFUyR5+HVJ/xMp9zRJz7jOBPIr07BqDs+f+Jnh3+Nh1jmb56bnd0fKDK7sZkrl+j0QpM+cn8/Os8eyfV5kfu+s1KmnjnCo5lGS/qSPP/7Y87vEtH25OoY5zsL83bN+/UsaNOhbEYYrJ9ZowuWXacPrK3X/xBv05L+drgW3Xaxvl5drwf13qX7W3ZHj/rx1q/qk7SUVVjmm/cFxCCCAAAIIIIAAAggggAACpSFQcskGa5r+ul//Tk9bqyf1OEfa9rhncCH+BuNltv0P7F0TZkDAKje+lvSxkqI7MBwp6U099/zzOtVgeQfrjOh68Y/rG9/4RqB9DQoZHPnkk490xrcH67M3tsZmNAyRtNaonfPm3q550+vV1hHbu6JXuap+MkKLf+m+TrT7khRD1PvoXVr/3FOuASaSDcEfRibJBqvUzLeMT9Phx2zXltdecb1okHuuUP1eqPs2SNuD95r3GabXvuP2X2jt4gY1bf67pOjyNG6zVUzLNGlLofo6zDpb7QqzvDDKyvV7wKSv0o/J5/Mi/VopvwG6H6GyvT9Qx4fR/YH26jNUM269ynUmTpC25eoYRl/G6xvm7x5rCaolM2frufc+k7oNlHZs1HHHf1Nf/fBNrdn6qY4//ji98sr65MzQ3kO14M7rVJ22P1JY5QTpE45FAAEEEEAAAQQQQAABBBAofoGSSzaccOwR2vP1t7TGsu01UlVj+mrxrLqspcMMCFiVqP3FxXp56TK1bo2u32QtQ3LzTRN047js1kAO0rBCBkdS18w+UPv23s94416rTSPPOVV/fXa1nrXimbEZKl7L76T0U7eD1fvf/6at78XWyCr7lqp+dKprsqKYkg1NTU0pXVpeXp5YyiJIXzsdG+ZYNg0eRsb8xDH68MFGNX5g/T//PTGC1LNQ/e5033otH5RtXwVpe7bXcDvP9NqrV/9B1T+4QG0fRHaKj/wVYmZYofra1MHUP8zywigr1+8B03bbj8vn88J+HSvJ3bPn1xMzb75yYF/97webbYecrEHDe+rVpx/Nphkp5+TqGEZfxisU5u+eked8V2++tEYbP4rvdyFp/0Ea/q0+2v7+Fv3znc22vTCiv2F+cH6FHlpwf4pPWOXk3FEUgAACCCCAAAIIIIAAAgggUFQCpZ1s0BmSnspp2YQwAwLxQEgvSR9Fuvk7OvyYT7XxpedcN1gNczQUKjjy+eefap99uiWXT9LJOvyYLwK1074EQ8TAZ/mdlH7q8R1p27Oydr34JHKy91IrxZRssPqou6TItuY9j9SC+2ZmvDGa7ZgIcywHCh7GNxeNbE7iveyOdUSQehai3wt53wZpe7bjwO0802unJht208yGPN7jpg6m/mGWF0ZZuX4PmLbbflw+nxf26zQumq35N9+qNe9YT9DoLKpj++ylT59bHZ3tqAMkfai169Zp8HHHZdOUxDm5OobRl/HKpCQbcvzd097erg0bNui//uvZxDKT1nX++Pzz+ujDNzV69CWRyx559HG65KIf6qgBA+SUFA+rnJw6iZMRQAABBBBAAAEEEEAAAQSKTqDkkg0pywmoTL36Ha7Lqs7WTdf+IquAfpgBgebmhzV+zKXJN4IP/ramXHeBbivArAZrZBUqOJLx5vPB39bMaZep1mUTWbdRf/7pg/XeqnWxTT6j621/9tlnjv2YGnSu0NFHfqIv396c3CtAQ3X4Mf+fXmltzlhOqdiSDYlNvAeOjKyPnb48RbZPiTDHcpDgoRUIS2zWarBJa5B6FqLfrfv2tquv0OrN1j4wkvJ43wZpe7bjwO0802tbs5aemH2nnnzbmjm0m/Zs6JG/e9zUwdQ/zPLCKCvX7wHTdtuPy+fzwn6dlGdN7D49tf8Bqd+7h39PV1ad7LlvjEkbc3UMoy/j9Qz7d4+9/ZdfXqUFCx7Q0YOP1z47d+iV9Zsc98HyMwurHL/r8DkCCCCAAAIIIIAAAggggEBxC5RcsiF1o0QLd3/te2A3Df7mQN03Z1bgJWnCDAjcMe0qvXzX3VoWndYQ+Xtl3ToNyfENS9MhVKjgyLw51+mJW+v0ZGRaQZmkDtc13b3qnlpOgDeoe1To1tmXau3v5uu9F9ZobWQppuh63ROuOF8zbrwh5bLFlmxIzHxxWQvbtL/TjwtzLJsGD5uaHtDo0VWxqkTfKn7q+ed1usf+JEHqmZ5syEe/p9630fEcxpvRTv0YpO3ZjgO380yuHd+L5Z9vbI3sOWPdU5MnXuy6DJxJmabtKERfW3UJs85hlxdG3XL9HjDtL/tx+XxexK+zevUzOvXUYbH/219SW2Tj4q/3/Fpkpt0gSesin0Y/y3Wj6Fwdw+jLeNvD/t0TL3fevFkaN65G3VWm7eqI/edDrN2njPZfCrucbMYe5yCAAAIIIIAAAggggAACCBSXQMklGyy+yy8Zqdean9KajuimkJG/fQdJf1+nKyfWaOqk6103C07ndwoILF261LOX3NbZv/yiM/TmQ0+rNXJ29P31XAMeQYZLoYIjtVd9Xy/fvSzWzoGSNrrOSPCqf1PTffrV9TV6enNk/Qup7+laMOPnjm/6pwci6+4bp/O/2V/9+5cruWxVX0mbMwLFxZRsqK2tTSE5//zzA20C7un5cL3mXlGr1sgL+tHxt2vXriBDKHGsX/Awuon5wxoz5mfJIF/ZtzSycqB+v2iB5zWDBOEK0e+p923249kEOsznjcn17Mf4uVvLotSMv1R/fm29/tt6tnb/jo48/DO91LLS9XkaZnsK0deWR5h1disvnPsuu3s41++BoOMq0yBz35Zcnhfx+lhv97+08HfRfX66V+p7I3vricXRZ03qbBzpKwf215LFczSysjKb5kTOydUx7HEW5u8eq32rVzfr1FPPjCxH+FksUf/x5jV6s2WVWrdaCZu1RgmHsMrJuqM4EQEEEEAAAQQQQAABBBBAoKgESjLZ8Pnnn2vcZT9S88qntfXjz1NBy46VOl6LLANwZXW179JKqQEBg77xWGc/NTjhv1GuwdUCHZKP4IhT0My6TvTdR+sv+3amJgEkHTZCc2ddrqtHj8pot1MgsuaHo2St4T21ZnJyOaUew3XkoX/Tay8+m+j7Yko2BOrQgAeHGdxySjbMnTtX77zzjv76yXta0PCQevfcO3n/lQ1W/wP21NOP/V6HHGKNDvc/v6C3/cxC9Hsh79swnzcBh4djkP3222/Xtm3b1PbaGj268o8a2E3aaK2eVPZNHdnrX/TMH5Z79meY7SlEX1tmYdY5s7xogiDbhHWQe8Ot/3P9Hgg6rjINot8JYT0vrPLT91VJTya0t7+u/v2PTVa9xzk65ZQ99fzjy7NpTuScXB3DHmdh/u5Zv/5VDRo0RIdLektD1PvoXVr/3FP67LMd6t37UFmSr8U+XbdunY5zmZ0ZVjlZdxInIoAAAggggAACCCCAAAIIFJ1ASSYbLEXrH9433zRR9bPu1gBJm9Jo9+pdrkN7fFX/2djg+g/lrAJPHkvfFDJo6TSSwg2OuL9VG1Y7M5INPSpkzViwkgjpf26BSGscfOekY7Vry5uuyyl1zWSDwbPGYyybB8qis0mCzCgKElAtRL+HNZ4NxIMHukNcasuoT7sNlHZs1PCzz9Oie+YHTBwZCJiOOduzIOx73MjB3hSfPgizvCD3hpt2rt8DBr3o/Xz2LCD488IqLnVj6JMlvZAxm+78ESdq20tr9GxkZld0Sbc/tbVpQL9+2TSp8MkGg3s9rN89EdPGeyMz06y/ZStX6vzYLBD70niPLF2q0aMyv4/toGGVk1UncRICCCCAAAIIIIAAAggggEDRCZRssiEuuXr1al1z9RX6+IP39NYHf0sDjqYh7l28WFdUxdeVTz0kzLfBCxm0dBpJuQaZTANdYbUzjGSD5bB+/csaNGiovi7pfyIwR0p6M7GcEskGl+eOaeDX67HVq1wjzz7Rd+kkexGm48w6xy3ZEGa/hzWeTZ7uYT5vTK7n7u5xdq++0kdmCaQw21OIvs4YU7HlxrKdiZBZnkGvGN93pbqMktfYKtd3TzxCrQFnHFgbQ//z9be03iraZQN3a6P38WMuVdsHn0YrkONG7/n4Ps1lnNlVc/3dEy/LWjrtkUce0Q03JPc5shIaDQ0NGjlypG+yMexyDO4eDkEAAQQQQAABBBBAAAEEEChygZJPNli+1j+OV6x4TFOn3Kj//ftftHFrbA+ACP4RkrbowaVLdaHDG3pBAp9+fVnIoKVTXfIRHCn2ZZTiDnfcXqvl992rNe/E+n7fb+nII/4ZWU5p69Y29e9vbR9q/WW/7JOTeZjjx298+X3uVJeamhrP09z2jHBaRileVvsbL+lvr72q1q3WejvRFI/9zdhs6um2xr1XANq6Thj9nut9a51v/1vwyFJVOywFZh2zO8eL+/jYpTdefVFPrFqdXEbJqqzBUkphtqcQfZ2PPsjffVeqyYboMzas58X69S9p0KBvxW6x/SX9xXHGwueffxrZKLqnpI8jR58m6Zms9hOyzi7U96nf89Lt81x+92R7Tc5DAAEEEEAAAQQQQAABBBBAwE+gUyQb4o20NqF86KGFGjeuRtHFGuJ/QyWtcdysOcxgGRtE7+033lI+z3WDaPtyS/GlVvb585uxZTSkr/Q6UvX1U3TWycd22WRDOBvVpiZo2ts3pm7MHdsnw2sjYXvHB7nn/ALQYfR7rvetFZQsk9RhNbL7UNUtuM5xKbB8BLqD3HB+7tZbzvV33KjWlU/pzfgsse4n6fBDv9ArrU85bhLtV2bW9XNYUi2Mvs5HH+TNIMtN3nMNkgfps/ixTsnJ+LMn1+fFHbdcqecaf6Mn3/p7ZGNobW923ROjcfHd+uK1l/Tk21YiNLpR9OOPNKjylFMCNytXxzDHhVfls/ndExiDExBAAAEEEEAAAQQQQAABBBAwFOhUyYZ4m61NC6urfqC9t76l1ZH1m6W9+p6i3867SSNj6xI7B0mye5M0XtYd067Sy3fdrWUfJfVfWbdOQ1w2VzTsI+PDChUcmTfnOj1xa52e/MSqWjTMms3a2KnlHCjpA9dy/ILOVk3cllN6ZOmD+sHoi2KOXWtmQz6SDRbkvLm36a7bZiQ25t6rz1BNuOJ8zbgxuRyH28ANEoQrRL/fcfNleubOBj1tmxAV5L5Nue889h2xPIK03fjGNzzQ5NpWQP+Xs2/Wr++cl9x0/eBv6xc/H6HZDn1rUqZh9TyXzEo+252XTAtyj4dZ57D7NIy65fo9YNpf9uO8kg25PC/SN4YOXLfulfreyN56YvGCwKfm6hhGXwapdJDfPUHK5VgEEEAAAQQQQAABBBBAAAEEggh0ymSDBdDc/LjOPPPcpEWvkbpywgmaPzk1GBpmQMBaM/q2q6/Q6s2xDMdhIzTl2rN127irg/RJ1scWKjiyevUfVP2DC1LWxp457TLVXuK8L4Zbg6x1uHe9/pbWRg44StKfXJe8MAk6W6XU1vxMf1zy25TllPT3/7JVgWSDyQDzCx5mvmUenUu0dt06DfZJrgW55wrR7xn3bd9RmjLuNOP7tjMlG6yxEenbEwfa7k1rCbJ1ckpcBelLv3FXiL626hBmncMuL4y65fo94NdPTp/n63nR1LRYs6+/JvmdGrhyAyVt1NatW433H4hfIlfHMPoyaHNNf/cELZfjEUAAAQQQQAABBBBAAAEEEDAV6LTJBmtpgZ49e8YWorA4KjXyymP0+/mzUmzCDAjE38JMblR8sqQXHJdvMu2gIMcVKjiSuTb2d3T4MZ9q40vPae+9zZZSWr36GZ166rBk83qfpivHDtf8W250bLJpINLqgzO+PVhfvLFVG2MlfaXX4frfj96K/T+SDSZjyi94aJWR0Yex5ZSsfTK8xkGQe64Q/Z7rfdvZkg1W36bO0orue9PW1qZ+/frl7flZiL62Kh9k/AW/V3KbHRdG3XL9HjBpc/ox+XpenH/6YG1ZtU4brAseNkLDj/1XDe6fOgbT6/LXv3boT398PJmg2H+Qpkwea5w8jJeXq2MYfRm0L0x/9wQtl+MRQAABBBBAAAEEEEAAAQQQMBXotMkGCyAlWFCAmQ3WNWt/cbFeXrostnmupP0H6bKq03V/fZ1pn2R9XCGDI/PmTtHCabO07i//iNTXWhv71/Pv0EUOm3CnN8h6c/rHPzxDnz63OrZ0TfSteK+lmEwDkda1mpubdOaZo22Xte/gQbLBZICZBA/j4/2Pv2vSmo7PIsWaLKcUJAhXqH7P5b7tjMmG1CXOviHp/y2aZEOu93iQ8Rf8XiHZILk/Y637zPR5kbox9AGSPjSaOZW59FI0Gb7ltVdMujNxTCG/TwNVzOdgk989YV6PshBAAAEEEEAAAQQQQAABBBCwC5RcsqG2tlYXXnihjvNZqqW9/XX1739soq1WMHzJ4jl53bPBulh8M8yekj6OXH1/SX/RrLlz9X+uNltOyQrGr1ixQt26dVNl2h4TXsO3kMGR+AyCz97Yqk2RSg2RtFbPPf+8TvXZjHPe3Ns1b3q92jr+Fm1Or3JV/WSEFv+y3rV5QYLOViHpQa1kwSQbTB6BpsmGeGDPutNeixTsv5xSkGBvofrd7b69fc5c3eCzDFpnTDZYb5S/s2qd1kf6NLoUzWeffZYxYyVIX/qNu0L1dZh1ttoUZnlhlJXr94BfPzl9no/nxR23/0LPLVgQ2+x5qAYNP0CvPv2oUfVSNpVWdD8gk++mlB9He+zhOzPSqzJh9GW8/LB/9xghchACCCCAAAIIIIAAAggggAACWQiUXLLBCqRYf8PPPk+146/S8ccfr/322y+l6e+++66+f+7p+n8+fk//tXVHJBDe++hdanvl+bwGy+KVaGy8R2PG/NxWp57a98CvacSZ39W0G2ozliKJH9je3q7m5hVq+NV8rX9js+qWLFXND0cZd2uuQaagwZHVq/+oU0+tUCKx0n2otH2NHlm6VN8766wMa2uJhxnTJ6t+1q+SbdrnaB3Zdx+91LIyox/tDQ8aiHRaTila3u5NNjQ1NaX0Z3l5uet4MO742IFB+8+rfNPgoVVGU9MDmnLNeL2xNbZXyb7f0pFH/FNuyykFqWch+93rvr3hmqtdE5ydKdlgJTobFsxOTQZ6bLIbpC/9xnOh+jrMOkfG/8P1mntFrVojw5+ZDX7PWJPnRTyJGf9u2avvKVow41qjmXNWL6TOipC073f1o7En6D/vdE9op4/PQn+fet0fYf/u8bsX+RwBBBBAAAEEEEAAAQQQQACBbAVKMtlwsKT31F37Hrif/v7B25HEw+Cj+0cM/vrJe1rQ8JAGdpM2WnkGHSbpbS1buVLnO8wScAoULV261MjzgAMO0Ckub/HPm3uHxo2/UV+z6hQvrdtAacdG9T9msM4bMdx2jS9VX39X5P/33UfabK1I828DVffr24o62RANND+o0aN/ogFSbIbDftr3wO6RfrmmpkZfibXyr395WwsWP6xjy/bRa7Eld1T2TR3Z61/0zB+W+27eGTQQGa3bAxo9On3T6t2bbLCCRr0kfWRVsPdQLbjzOlUbLD1lMiDzF/T0NrMC1P/x/Qq998Iarf17tKZf6XWkrr3mUs24MXVD9ki/BAjOFrrfHe/b2DPkyKOP08izz1A03Wn97VR9/f+N/K/EPi09KlR33zjX+zZfz5tsx8ftt9+ubdtiSSJFn0OHH/jveuuD2KyjWNvdNv4Osz2F6usw6xx0PPv1U5B7w62sXIPkfnV0+jxIctLkeWFt2j5+zKVq++BTSUdJ+lPgvY9OOPYI/fP1t2Kzc4KXkatjmOPMqkuYv3uy6WPOQQABBBBAAAEEEEAAAQQQQMBEoCSTDdGFiQz+YsF960370S4B3dSAgEGZiUMO08grR2dsOG0voalpiUaP/pH69tpLmz+K7m3g/9cjMgvioK9/Tf/Z2OC7XJS9vHwER3bt2uVb5dWrn9f4n1fri20faOPW7b7HS2WSOvTDMdWaPe0W30SDVWA2gUjrvMsvGanXmp9K7Cng99atQeVTDgkaHEzpo4EjteC2i0s+2WCBxJchSiRSdKSkNx334Qhitjv6PX7fDuzd3XA824bEv/ZW3QN3GiYbgow2/+eNX2nBn3XRdfK9loALXma8lpntKVRfh1nnjGcTMxuMZo/5PS/OH3Gitr20Rs9aebDDv6crq07W/Ftu9BviKZ83Lpqt+TffqjXvRL+Tgs6OCPf7NEjVM+8Nqy5h/u4JUhuORQABBBBAAAEEEEAAAQQQQCCIQMklG+bNm6snl/1OT6xaHWlnYiZAotW91LN3d328dYuunFijCZdf5rlMjRV4uunSWm20XqAM9PdNjbzydM9kg1WctXTQQw89oIZf3a31b7TLOYAZnX1h/VkB+MsuvEDf/va3M5Yh8qteylvzMqufvcxUi2jY2CTZkGzng/r1fXfr1dc3pc5giFykm/Y9sFdiJsqtk2pdZ4U4tTOlbgFmfbz77jvq3fvQ2E4CkRET2YzatF1+5kHN8j2zITmWg/VfejtT22VmdsfttVp+372J4J6+sr+GDjtRrb//XcpYDmK2u/o9et8mx7Nb4mGv3gP1j60bI3zfPfNc/eCcysg+K/369XMcOvl+3niNV+Nr22ZgzZk13XPfGOMyMyqW+XwqVF+HWWerWUHGc9jPE6fycv0e8Kuj7/PZ8Bnr9rxYUH+Tjj32hNhlonMD3WbWeNU1vhRTd0nRdMPhGjS83Hjfh1wdwxxnYf/uyaaPOQcBBBBAAAEEEEAAAQQQQAABE4GSSzbEG2UFA9955x1t2bIl8p927NgR2VDZ+rOWNzrqqKM89wCIl2Ptk7BhwwYTq4xjvJZRcirQutbbb78dqWv63xFHHKE+ffoY1dmtsun7AWRTv3SLUVks8eNmavXP0UcfbTSTIb2N6WUG2etg/fr1iXESLzebdrn1aRCzfO7Z4OSebTuzKSu+sXm609ChQ1P6PEjZxdDvXvetNaYPO+ww9e7d2yg5WMjnTXo/rF69WsuXL3d91ln3VPwZaj2P+vfv79umMNtTqL4Os84WZpDx7PdFE0ZZuX4P+NUxjOegVYbb86JXr1766KPIQnOJv2yfY83NzRnftxUVFUbfs7k6hj3OLIywfvdk08ecgwACCCCAAAIIIIAAAggggICJQMkmG0waxzEIIIAAAggggAACCCCAAAIIIIAAAggggAACCCCQfwGSDfk35goIIIAAAggggAACCCCAAAIIIIAAAggggAACCHRqAZINnbp7aRwCCCCAAAIIIIAAAggggAACCCCAAAIIIIAAAvkXINmQf2OugAACCCCAAAIIIIAAAggggAACCCCAAAIIIIBApxYg2dCpu5fGIYAAAggggAACCCCAAAIIIIAAAggggAACCCCQfwGSDfk35goIIIAAAggggAACCCCAAAIIIIAAAggggAACCHRqAZINnbp7aRwCCCCAAAIIIIAAAggggAACCCCAAAIIIIAAAvkXINmQf2OugAACCCCAAAIIIIAAAggggAACCCCAAAIIIIBApxYg2dCpu5fGIYAAAggggAACCCCAAAIIIIAAAggggAACCCCQfwGSDfk35goIIIAAAggggAACCCCAAAIIIIAAAggggAACCHRqAZINnbp7aRwCCCCAAAIIIIAAAggggAACCCCAAAIIIIAAAvkXINmQf2OugAACCCCAAAIIIIAAAggggAACCCCAAAIIIIBApxYoqWTDHnvs0ak7g8YhgAACCCCAAAIIIIAAAggggAACCCCAAAIIIFBqArt27RLJhlLrNeqLAAIIIIAAAggggAACCCCAAAIIIIAAAggggEARCZBsKKLOoCoIIIAAAggggAACCCCAAAIIIIAAAggggAACCJSiAMmGUuw16owAAggggAACCCCAAAIIIIAAAggggAACCCCAQBEJlFyyoYjsqAoCCCCAAAIIIIAAAggggAACCCCAAAIIIIAAAgjEBEpqzwZ6DQEEEEAAAQQQQAABBBBAAAEEEEAAAQQQQAABBIpPgGRD8fUJNUIAAQQQQAABBBBAAAEEEEAAAQQQQAABBBBAoKQESDaUVHdRWQQQQAABBBBAAAEEEEAAAQQQQAABBBBAAAEEik+AZEPx9Qk1QgABBBBAAAEEEEAAAQQQQAABBBBAAAEEEECgpARINpRUd1FZBBBAAAEEEEAAAQQQQAABBBBAAAEEEEAAAQSKT4BkQ/H1CTVCAAEEEEAAAQQQQAABBBBAAAEEEEAAAQQQQKCkBEg2lFR3UVkEEEAAAQQQQAABBBBAAAEEEEAAAQQQQAABBIpPgGRD8fUJNUIAAQQQQAABBBBAAAEEEEAAAQQQQAABBBBAoKQESDaUVHdRWQQQQAABBBBAAAEEEEAAAQQQQAABBBBAAAEEik+AZEPx9Qk1QgABBBBAAAEEEEAAAQQQQAABBBBAAAEEEECgpARINpRUd1FZBBBAAAEEEEAAAQQQQAABBBBAAAEEEEAAAQSKT4BkQ/H1CTVCAAEEEEAAAQQQQAABBBBAAAEEEEAAAQQQQKCkBEg2lFR3UVkEEEAAAQQQQAABBBBAAAEEEEAAAQQQQAABBIpPgGRD8fUJNUIAAQQQQAABBBBAAAEEEEAAAQQQQAABBBBAoKQESDaUVHdRWQQQQAABBBBAAAEEEEAAAQQQQAABBBBAAAEEik+AZEPx9Qk1QgABBBBAAAEEEEAAAQQQQAABBBBAAAEEEECgpARINpRUd1FZBBBAAAEEEEAAAQQQQAABBBBAAAEEEEAAAQSKT4BkQ/H1CTVCAAEEEEAAAQQQQAABBBBAAAEEEEAAAQQQQKCkBEg2lFR3UVkEEEAAAQQQQAABBBBAAAEEEEAAAQQQQAABBIpPgGRD8fUJNUIAAQQQQAAB8kMEuwAAIABJREFUBBBAAAEEEEAAAQQQQAABBBBAoKQESDaUVHdRWQQQQAABBBBAAAEEEEAAAQQQQAABBBBAAAEEik+AZEPx9Qk1QgABBBBAAAEEEEAAAQQQQAABBBBAAAEEEECgpARINpRUd1FZBBBAAAEEEEAAAQQQQAABBBBAAAEEEEAAAQSKT4BkQ/H1CTVCAAEEEEAAAQQQQAABBBBAAAEEEEAAAQQQQKCkBEg2lFR3UVkEEEAAAQQQQAABBBBAAAEEEEAAAQQQQAABBIpPgGRD8fUJNUIAAQQQQAABBBBAAAEEEEAAAQQQQAABBBBAoKQESDaUVHdRWQQQQAABBBBAAAEEEEAAAQQQQAABBBBAAAEEik+AZEPx9Qk1QgABBBBAAAEEEEAAAQQQQAABBBBAAAEEEECgpARINpRUd1FZBBBAAAEEEEAAgVIV+OSTT9Ta2qpRo0blvQmrV6+OXOOUU07J+7W4AAIIIIAAAggggAACCCBgCZR0sqG9vV0bNmwIrSetf/hZ/zD78MMPE2V269ZNlZWVRtd49913tWbNmsSxBxxwQMo/8Ezqa53z9a9/Xf369fO8Zno9TSpYXl7uW65JOaV6TFNTU+CqOwUDTPvx0EMP1SGHHBL4muknWNd7++23tWPHjsRHRxxxhPr06aP99tsvcPlODhUVFcZlObU/yPmBK8wJnUrA5P4J0uCgATsr0PfOO+9oy5YtKc/qsO7XIHXnWASKTcDkezKs3xLr169PuQ+HDh1q9J0ZD9aHZZf+/ZVN+em/99zqtn79y7r0ov/QYSecp98v+mXGYfbfkdbvz+OPP97ouzn992e8TU0P/1+NvmCipsyao9v+z7iwyEIpJ/13bNi/Iz7//HNt3bo1498J1vjt3bu39t5771Da4Xad+O/5XK5VrPdI+ve46fi3g4fdP+njyfR5Yj8vm3aEMohKpJD074egv79Mfv+F+e9g699KvXr18vxeSX/eZzsG8nlP7M5niX1o+v0+CPJsDev5X8h4iMn4DXIrm94/YccBgtSRYxFAAIFcBEo62dDUUKubLqvXxlwEIucOlLRRu3btUvOTD+jMs6piJX5NvQYeo+W/uUsnH3ec71Uuu/AMvfHE03pxew9J27R63bqU85qa7tMDN12nZRu3eZR1gPoOPUpf+8q/6N6Fd+s4l6RD7VXf1x/vXqZkasOnegNHasFtF6u6AG/S+ULtlgP+qT32+EqAKx8o6YPImEj/M+rHfQep9/5/V5/D+mverGk6zmD8pP8jbMWKJt1ywy3ae5899D/rNust+wG9h+rwf/1ERw06WTdMuCLAW4sODgd/Ww0LJmvsCLOk2vmnD1b7qnXaFKvPvw38rl5uuk9H+STIAuBzaCcWyMdz24Rr9erndf9dM7R63Ubt98VHWrM1mbyT+qrvoB7a9dk/dOsdt+j7Z50VWiDKpG4cg0BxCJh8T5ap79D+2vW3jyP3yoVZ/6bYqSEDDtGWtg5FfhHt+12Nu2m05kz0D4i3t/9R/z97Zx4fVXX+/0/7s2op8kVIhZFGBQtEwBUMKi4hQAoIGkNZBAmaIFpkUb4kiGhFBVlCQQGtiEEJYhWbGBUBI0sUqYogtoKF0EoVJdaFUppia/vF3+vc2e69c5dzl5nMZD75D+bce895n/35nPM8o/teje0H/+kZm9H85fz9lyN/fE+88MgCy/xs21aDX4wehY8PnIqLCq/GlpVRsUEYXhfNm4GKit/g2wOfB+f7FtnIPK0BU2dMw6Qbw+vS2E+IZ0dcl4Mv39qOt75rh+GjR+DZUF6qni/DqvGlqDn1Kowb2Q+LZs7wzMyvF2jWsZnZeHPjKvTyYR0hDDO/feYxzLhvEa44rx22/uEzVZZbInBeN9T/4U3cce8sTBk7RkrgMiqzMHI9+egClD9Tjf7ZZ2HD9r/okrVB15yLsad2LbJ7XoXcwXm4aejPHRz6Sd4+ol0Hy7X/MJx41Y+mPZ1yCfJv6IUXHrXukyJPU8f0xsqKWnyFjsjR9Uu/2npTeE9d3TsoGtQf2/YH97And+yFjWuWopeD/Y3U/gk+7oObd0Vmm38j75qRWDL7TsN1nXa8d9aW1fXqpU8k81gSLaP9+qB51xw07KlVxO3bbxplKZT7Nf4n0h6SyP2LmNfjYwdoCqMRy0ACJJAqBCg2KDUVFRvEv4Qx9fNNu0KG/N64sE9zvLfxJcs6rapchl/fNR0b6/4GZF2P8cO74hHdpk4sRN5eci/Kaj+Xah8/aN0e9z/4S9w57saY9GJy3f9oNaql3iSKSLHBT7FBvh47oHX7Znh21WPoK+nGIHzyscU3X+KNA/+wqeHWyOh4Jgb2643HFjwgYSA1Wiz2xhVDz8Iba1bYtqZPP/0zBl6ZjQ8OHI6kbZlTiN8tm0GxwZYeEwgCiVysi++JBfsvp47D5tdq8N7+L+wrof2VaP/Do1j3wnPI8sHwZf9BpiCBZCFgb0xQ57RZx6sw5ZYheMDFifn336/FhGHXRQxXwPkAfo9jx47ZzmPOxQBzvmZiw7SCfJuDIep32huo6ur2oHPnbvgxgH92vAr3TL1Rs7Z7cOZkbHhmFbb+7SpceP5/0L39aTh26PeoW/cePuzUFw9OH43JJoLDgzPHY2vF09hw4FxkdvkX9u14M8Lw008PYFDvS/DZn77AMQ/1FY8WqlnHds3Hm1XzPIsNFU8txrz75+B7Bz6XOIh0Adq2/xazyh5A8RB5l1biJPSceybLzylheK36Y/5jN6NkqNy3krmPaPczI5A/vp2t2CYwxLN+9Puik8/IRvmyBzDS5iCNEBuer6jFJ+iJnMJLNSJgPNp9qr5z6YJJ2PTgElT/LVSCViNQPKEbnrhPXsBsvH3wT9C6fUts3FAZc4hPzCfR8V6+Levr0U2fSIWxJFpOB+uDlleifWYD3lj3oqmY69f4n0h7SKL2L/G1A6TqCMR8kwAJpCKBlBYb7K6zDRkyBGcD+DMAYRC9b8jF+Mnpp5vWU/g62/vvb8XtNwzF63uC7pSan5uPRfeOxliTzcjhw1+h32Xn4eC+enyJzsj46Un44ztbkKFzcaNfiGT/7BimjRujfKOh4Sg2r/0ttu3YiVMOfI5dyv+2xSmZrfDGxhdiFkf6SXr2rX2QZVE28Ta/XB+kYkMH1IukYKuorKy0LYrRFUerejx06CDe2rQe+/d/iI/3HETQtHku2nY+AR/t2mZrRAmffDx04Ct8rTwrNsP/xCWXXo7RQwYp/yO+sfa3z+KLQx9hV9h42uJSXJHXEa9WPGbzDaPFYvAWx5dffx3TZvWAKp6ai5p5c7B679HITxQbbJsRE6gIxGvcNoL8zTf/xOU9z8UJHx/AdqXJ/hgZHdvh7NPbYNTPB6FdaMxcV7kKr7/1Nk6KGKici4SsZBJIfQLW8+Rbm17EgkcrkHMqUBsyOInTrS8+OQ95kmJ6mNGD947F75eWY01Ut1bWWqsenYr8y63jC9i5OXr7dy/ir6srUCHOdbQtROGoNrj2sktMq0fvvkdvfFKv1cxeYuV6QxmHepyD7z48iF1Z12HgRS3xyuqouB8V8U/E/7T/Mdau+jUu79ULNTXP4/4J47BtfwDAHw3n6G3bXsW460fgw4M/RsZPf4itrzwfI5JG05yEjK6d8cTCGbhW0j1oPNu0X8amcB6X/moG1iz7NbbuDzVO5QZoA4bfOAoXn5OlJNv7x3ex+qlnkfF/X0cOczgRzT799BNcOzBHNacA4jRvm39/gaHq7+z9PTavexUfH/pYET72K0v6QsxffK202JDMfcSNYTXe9RNrdOyo9Amj/Zi6XVNssO/lYgxr1qw52gCIOhruAuBDNBw7hh9JuiRL1D740KGPUP3s8/j2H5+pbjZdhq5XtcTu2lc0BW4ssSFVxpIoLPP1QXBcXYPTTjqK2j1fBR85dQDyR3QxvV3k1/ifSHtIIvYv8bcD2Pd3piABEiABvwiktNhgB+F73/ueRmxwcvq6ZPx12PVsNTYpe5auaNv5RFNjsThV9u4zq1G9/yiadeqLhx/8haEwIbM4D59+iyzoTi3AxLtyYlwL+DVJ2zFsOr/HLpKMXCTJlFemHrdtex233TgMn//pi+DCvGMByhffYumqSJxAzMzsoJx8/FJ5ZiAGXtwGy+bdb3gypKZmHaZNGofv7fssKE61uBJ9rz4brz1jdUPB5GRK1iiULyq0caV0HINyzsfh13fjLRUoig0yrYZpZAl4Gbf134i6thO/ZCPQ+d9YU/6IYsjT/wmf5zOnjcPBd7ehZr9QJoKGip1bXsEZPsRekS0/05FA4xGwnyeFob90wnB8XrMRryiKeG/0H3sh1i//lXS2Dx8+hNat2xmkl79lZ/Ux4TroxUmlEbHBiYFXvNcv41M4j0t/VYJXHlmGDQfOUNaSe363UeNeoqpyCdbN/CXKd3dG16sysLt2bejRoBudz/bV468GawjNrQWLtad4WXSdehEyuxzV3H6QrjifE/q5jtXcLsZpOCVwKu6cPgF3jC2OOYAhbruVP7EQS+eUYV/935VSWa3dw8UOu6v65/btob1BZ7Ru/wMsXnCfqes9Ma9s3lyDRfPm4u9H/otfPLRASmxI9j4isw5WN5dE1I/hCees61HYvx1WLiozbb0UG+w7ds2GciybdAeq9utuW0vsbTTtQHPD3/gWgZ/74KVL7seLSx8Keh0Q/fy8gahZOVvj+smv8d5Jn0jNscR6fRAcV8uwafkSVH8gBIcA/qd9Bv60o9bwIJtf479f77HvBfYpvO5fEmMHsC8HU5AACZCAXwQoNpiQDG/i1Mbi0ltyME/nLqCubieu69sXHx48ArS6BtkXf4d3Nhi7XJJdiFQsuxMvTJ8XuqpqfK03mSZXvxpjfN9jb0SR/b5sPYorx1vnLAme3JQ40SYMo3/ZsDG4iT11APr2b4uXyh+xvKmgX5Tbb5i1HAKBL1FfLwyr/XDF0J9YulJSX+lvFgigc329InJQbJBtOUwnQ8DrYj38Da1xozOAffj44EFL4UBsliYWX6Pph1Yns2TKwzQkkDoE5OZJMRfMvWUEntsupPReyOzyDT7Zs1O6mMK4XnX33cEbch2vRPaJH2K7choyaJz4wxvrPAl8ySQ2CKNxTo9zFdeDZrdkxXrug0ersQGxxreSmwfg7Sc24E3dGkIzVmUUoPDqDpYG1cOHP0fr1oHgyeSOBTBaz0pXoE8J/VrHhst2GqDcJhXroLsmXIsZEydY5lRriAzOEVY3PEW7XT71Lmz4i4j30wanZLZG1W8el3aRKfyyi79eEreAkr2PyK6DRXkTVT/G7lTaIqNrJ/xm2YOm9USxwb5Djx12JT54fiu2I4BT2n6HXv/5HBsUsbkfLuxzsq2r4ci6TEJsEGn92wcfx6DLz8G72+qCN81PG4H5S4dqBL/GEBtScyyRWR+oBHLhGSJ7OF5fdT8uMnBJ6tf479d77HuBfQqv+5fE2AHsy8EUJEACJOAXAYoNFiTFabRNyx5XbiwA58RcY1dOJgzuFYrvYO7yyOkiq6ZmNZ6/53Y8sV1svi9FZpd/x2zkk2ly9asxxvc9MoskuRzIbrKcGDy0vnnbKq4UZA0uYtG6evqM0ImjHOXUornhR82hD4BNoWvR1idQBBkhnqyfvQTrjgR9a+cDSswQig1y7Yap5Ah4XawHvxLc8ARd2wE4qz+WLLgZEyT8ctfVfYCf988JxSUJIKNrR7xWtTzGlZ1caZiKBFKJgNw8WVf3Pmbfcg0qag8CuBLAG3ByU1DExfpy0y68BTHXZeDsE78Ont4XqLJGYd60PJRaBES2I+pk7jV6l1/GJ/282bbz9w1vyEbXc3kYO/tqLL9rUiRb6t9KnhiL+cVDld/E+rTy4cdQe/C8mDgNZnz0c7hMfAw71l5+92sdq/UlLxdnLZxvTYw2CxFGcYV1YcdoO42zYJPsfUR2HRzuA1Ff//GpH/GdaHsSbsfq0QPADqWig+tidSwTdbul2GDdi7Wx2noD2IKB52Vg3R+cC8Sy7cbPfbBmnDE4+OXXeC9bttQdS+TWB9H+RLHBiUeNxNkBvMzafJYESIAEnBGg2GDBK7wgiBisTi3A8MIOePah4HVccXJ21X13B68LdizA+JEXxQSFVr9ediESvVJ/BDAJWObXJs1Zc0nl1HKLJJkSytaj5mZD1igsmVVgauzU+OZ1GHQt7Es1GHnB+JpwtFxqDnkAajCsFYK3LyzzqDqt0nIQcGQtxQaZxsI0jgn4ITZs27YOD44fE9oMyweeDWe29PYROPT0c1gtTu61GoGJ0y+LcWXnuGB8gASSnoDcPKm92dAP/ceeK+1Gqa7uHRQN6h8MDN26APnD2qNPh29DQrYAFIxxVL/3Pde0kkVs0Pg5txhHnN5sUMdpaN3+JMOgp0bwNMYMh+5PXFeGxYN+rGP1vuSFm5QXHr1LOoaImCuevGscyt/4DCJIuRCEjNqeSLdkSlHoNo98nCs33FKhj8iugxNVP4JztD0F47J1yWwZvHUu/toPxPjCywz3aBQbrFtpVKQMxjBc9ej/4oGxw/DpvvrgbYGWgzBxRp7UGkm23fi5D47cDhN5TQKxIXXHErn1wbU53fD71/fgY7pRghOxIXF2ADezEp8hARIgAXcEKDbYcNMICqqAzWdktFCupAevbVvHdAh/QnaRpT2ldS3yx/8ULzyyQJNTPzZp7ppMqj4lt0iSKZ1MPYaFquBi3O6mgvbaKbrm48VlU3GNxFX7iHE04oZBuGAqwLQ5gzH3lhsNiqMVG/qOzMA3764LGn4srkOrjbciIGiXH/0VZ7z/J95skGkwTOOIgB9ig34MHXlnD6yec7d0PrZtewGPThyLZ3YJFc678VP6w0xIAo1KQG6eFJvid5eUB109OryJoO6bYcPwWT8+OeqO0lYwtweULGKDRvS0mNedxGzI69YRg3pfgs/+9AWO2cRpiCV1HN/73v9D0FTuPNaGPXlnKfxYxwrD/B1DB4WE5Q4APoKTGxvffPMPNGvWIpJx0Sa3Pr8oxu2H5vBInNmlQh+RWQcLqImqH/Etvdgw+95fYGvF09hwQMQZCN4+3/DSalx2wQWahkqxwbzfak/hRw9uPL9qHl5YsCh08z8o0n20a5ul21fxFdl2o+1vXvbBuv3VhSPx4pLxmv1Vom82pO5YYr8+0LiWhvUtJj/Gf22/FyE28/Fm1Tz0MnDb5Gx2cpfa/f4lkXYAd2XjUyRAAiTghgDFBhtqYqE1dMAl+Ovru0PXcYOTZ99uzbBn5XNYdyToH3b5wyUY2V+cFDf/k1lkCd+muT3PjwYWPqs/yn99R0zgXv0kPfvWPsg6/XTTjxcUFLhpH03oGftFkmxh7eoxJtBsR2t/ymqfznYBtczyqDGuoD/6j+1ictJUKzaUPFGMTWW3h04omfvLjp64yEHXq5phYNcTsf/RaooNso2G6aQJuF+sRz+hOcnWrRhLZg6UcqEUfsOnn+7DDf0vx+shP/LCJYOVL2/pwjEhCSQ1AZkAkAvx7NLF2FYnzrQG3ZO8v/U1TcBjsyJqTzlrRbyo25jgbaLiCd3wxH0zXNHyW2zI/tkxTBs3xjQvOTk5huVXG41/1PUq7NnwNM40CDYfdVNyouJCce2qXytB7Gtqnsf9E8Zh237hFuaPSsyZ+0tvCsaUyRiI4f3OwbO6gyh2wKJjY9Aw78T9ld27nf7uh7FJewK6P64YGrCMPWWUx+LremJj9XZ8In40ueFpdzraadlTvY/YrYPD5UtU/Yjv6cWGY8cacHmPc/D9Dw+G9m9XoOtVp+Dd9b/VGMUpNpi3Xo1gemoBJt6Vo9xg0O5bgjeqZW4UybQbt/tgIyNzzYZVKJs8ORQg2vhGUqLFhtQdS6zXB3V1e3H9dXn47sOD2IXTcEpmhqG4F25tfoz/2n4fFBsa0x7idv+SWDuAX7MV30MCJEAC9gQoNtgzgriyPuOWMXh9j+JRGM069ULXE/6Edz/8qxIUuu/PWuO1Z1bYvslukSUm6gdn3Io/bXwd25Sbv+Z+Ro0DoRllIbi4aswNpS2YhCSIXSRVVlaafrlbt27oZHIyQl+PYUNEQ8NRbF77W2zbsRMnHfgce8TbW1yK9mf+G3veedP0xI84+fXL0deGrucHr387rS/tSWyrgJ16sWEszvjb1qgLC4NTqho3TaHfv3r3BYoNCWm36fcRt4v1KCn16d3g5uO1p+9FX91pRmuy6n7CuCTp1wrTtcTm8+TbW9ej7KEnkJ3ZHNsPigC5P0Xr9ifj2VWPSQfIrdlQjmWT7gjGF8q6HqVjL8W8/52owNb8Fjp771bg81dssGkLmdl4c+Mqw5OUUaOS/by+9FczsGbZr7H1b1fhwvP/g+7tT8OxQ79H3br38GGnvnhw+mj8v68/cBynQZ/7B6ePwta5z2CDWJ5k5+PtVfNwTiOdAvXD2FS1+j6smjgzeMsGP0f++DNjbgLb9WY7n+4iBlD0RggAg9PRdt+Q/T1V+ojdfiZc3sTUT/BrerFBrKPff38rbr9haGT/hszeuO/uQvxyXPTmL8UG89YpxrA3ntigBIbWx6+KBo0Wz8vdlLJrN673wQYn2mtqqvGzn10X8kAAxd1x6S05kTknXOrEig2pPJYYrw/Ue99TDnyOXeiI1pknYN6iWSi2iJPmx/iv7fd2o2z87SFu9y+JtQPYceLvJEACJOAfAYoNkixLxl+HXc9WY5OyoQn/tcH/tD8Nb2/4LbIkNmuOjNRism5/kulGnmKDZMVFkmmNh9ZPn4+SJ2ZEAjHq02rr0exNrZHR8UwM7Ncbix64y/LUp3aha2+UMPqi/DtixYaR3X+MCcOuC7lS6o8L+/wA7218KfKZbW8+g4VFt6Jqf3MlmKcIXL10zkSKDU6bINNLEXC7WI++XNfXXV2r9uMdUsVlIhJIIgKS82RmNtqf8i1+u/pJXORAxIveXoi9Raf37S4MQ+WLb4m51SkDKznEBrVR6UIAuywPEXzzzTdYNG8GKip+g28PfI4DoqAtspF5WgOmzpiG7h3bYNz1I/DhwR8ra8OXqlbhu3/+E3/9a/AQTIcOHXCBRF1o2LgSYmVqQC6NH8YmtXgC5EEdRFsuF2ojtXjC6B2Jmw9SpY/YGY3D7BNTP8GvGYkNyv/fMRoHN6zFs3vFKa42OCWzNd7Y+AIuCO3bKDYY9xTtaet+uLDPydq9gS6OibiV9acdtcho1cq068VtH6w60X7o0EeofvZ5HP7iL9i1X4kqAZzaB+1/8jfDg1+JFRtSeSyxXx8075qDhj212Llrl+3awI/xX9vv7Ub8ZBYbXse0gnxU7xFjVLztAHac+DsJkAAJ+EeAYoMky7q6D/Dz/jn44IDw4R36az8Qpbf1jzklYfZKOSN1aIMZ+AYryn9temKQbpQkKy6SzH6RFH2jD2JD1vW46ux/onbti7YZlRcKzF8l/45YsWF+8RB0z/pJxJXSaRd2wbsvPYUzQu4eoqeX+uGKoT9RXBSo21/LnEJHQbBsgTBBWhOg2JDW1c/CNyoBmXkyB0AtDh48iJ8YuAQyy37UVZBYQ/XGFUPPinF3o421EmvckkXjr9gwAu7cKKlZ9kRO4aXYsnKRbRGEG8bt27cr6Zo3b44ePXrg2LG/Y3DfK3DCvs+UWw7XXpGJP761FSf+52ts3y9OwJyCwHkXoMOPW+DZpx6zrBcNmwtuw5K7cx25mLMtgIMEfhib9MbsiQ+PwOJJNznIRfKIDanUR9yKDfGpn2B1m4kNhw9/hX6XnYeD++rxpUjY6hpkX/wdal94TrlxTLHBuLtUPDUXNfPmYPXeo8qtAL34q43nIBe/J277YIse37xrb1zRJROPL5xtODY2RbEhPmOJzPqgJTI6tkfnM07HikcXmnoI0PZXb7EWkske4nb/Ir+H98MO4Gh6ZGISIAES8ESAYoMDfEt/VYJNyx4PBcTqg8wuf8O+HebucfSvtl5kBdAxuzO+O/wFbpr0C9w6aqTlaXg/NmkOit4EkibCjdIXmHf3dHx4UJxMaIuMrp3w4tMPxwSj08NM7PVJI7FhKCqW3Ynn7pynxCBBy0GYNneIEmBac7JJtdmg2NAEukSSFsHtYj1aHLpRStKqZbaSnoDZPPkdViyeGY1dlXU9xg/vikdmysdUEELC+tlLlDmm+bn5WPXoVORf3ktDRMyFRYP6h27ZxbrtkMXnt9iQP76dY9c8gDuxQV9GceNhYvE1kTgNnX/0Ofa9/x7OQyv846prcelP/x/273ob2S2O4pHatsjs8l/LGBpe2cjWgUw6P9axWjc9I+Cmrhy7UYrTjZBU6iOyYkNi6sdabBC/Ct/999wyAds/OaokFmPQontHY+yQAooNhp01GLD20331+AJdAHxoGLdK3WaF618R02137Sum3d96H9wGHbPPcbcP1n+xeVdktvk3Tv/J2SiZNA4DBwywcGWrPlXubgwRn5frE36sT+1H1/iMJfZulCIuhNEBrTNPwopnluMa3Twfzr0f4794l1/vsadqn8Lt/iWxdgD7cjAFCZAACfhFgGKDA5JeTz+YXR9VFr7Nm+Oss86yPAWgzmoyTa4OEDZi0sQEiH5w5nhsrXgaGw78wzLmhhpEYgNDGYsNn376B4zIvSpk5DkXHXv9BHVvroMI7ld1991YvbeZEvsj7EObYkMjNuUm/mm3i3U1Fk0APhendxkguok3MhbPhID5PCl8n4+65hrHYrr4kPYE7PkAfo+VK1cq6x7935AhQ3ApgLfEDy0HYeKMPCUgqZM/rwZ1r2u9YF79ERtELIdXnnwcG/Z0QmaXf2FEv47YX/EcqtsEBZ8F06YoXxsxuBc+37QL2038kof5NbWbDYkKQBw9/S7OkhRi/uJrUTK0wEmztEyban1EzrAKZQ25buYvUb5bnGSJXwBvAdfsZkMYvNbGDVgVAAAgAElEQVQd7jmRoOuLZ4zG8xW1+ATyN5B8q/gkfZEmMHSrEeh16TFMKRoTk9tDhz7B4wsfiNz6P7ljL2xcsxS9TFy6xXMfrA4MLNzKZWRkSN2+82e8lxUboBK3Um0ssQsQXYf5992Og+9uQ81+IepZB4n2y47h13v86Ipu9y+JtQP4UVK+gwRIgATkCFBskOOkpPK6IJFdnMtkKZkmV5n8Nn6axIgNyoaxxzn4wYcH8Y4odMcCjB95kc0J0OAJos/21UPxvtw1Hy8um4premlPfVoxFMbVbU9sCBpoTi3AtDmDlZsJsX/GYoNIJ3wFH9m0C28ACG8Y5k8twpebduGt1gXIH9YeLzy6QHklxYbGb9FNNQduF+tqHuJU19Y5S7BG8Xp3LUbe2QOr59wtjSwap0SIhuejbefvo37ve9LPMyEJpCYB63lSiOkfPPebkO/zK5DZ5Z9StzuF4WrJlCI8tz0YX0D+L9j3Ptq1zfRUqtG7kkNscBazwagc27a9qonTsHHD87iw8zlK+OxjuuDOIrBwxR1TsHrvmWjb+QTT8aqpxWwQJ0LvGDoI6/7wlYhcAeAjHDt2TLq9fPPN39CsWdTHfLPzBmLr84twkS4Om3ZOibqUlG/L1ilTrY/I7mcSVT/adamxz/PDhz9H69aBaMDgUwegb/+2OP8HByg26Jrng/eOxe+XlofWUA5aeasRKJ7QDU/cZ3zrTbbdyHzRr32w1719OK+yZUvdscR+H625iafEuDR2majfR4p975tV89BLIv6lvm341Q5k2pxdGvf7l0TaAexKwd9JgARIwD8CFBscsPS6IJFdiMhkKZkmV5n8Nn4a+0WSbB7t6rGm5nncP2Fc6JZAW5yS2QobXlpt6U5Js7C3Wazr8/nNN39Hs2YtFQPE5wDEZrlm5WyTk0XmYoPwz/rGr+YFT6C1HISB12Tg4NaXlBNLzbOHo3LhROSFBBCKDbKthemcEnC/WI9+SXMqD8GT1E4MUOIE5B/XVOOVr4V/5xGYOP0yx6ernZab6Umg8QlYz5Mxvs/bD8T4wsts3SlF4/44L6F+7pF5Q3KIDUD0hpXzgI+ffnpAidNw0r7P8EGnvnj4wV/gynM7YFxBP7y+538A/FkTcDrqhkHcFtH+pmamjnHQQidYyLD1M40/69igqNMGUA5riPXPC4/eFVmr2OV325uVePT22/DMTvG0ubCsFaDbQiYYrt231b+nWh+xWwdHy5aY+hHfs7vZINJUVS7Dr++ajo11iiUUzTr1xbG6jTgD4M2GUKWJU9atW7dz0nxVaa3XW/Ltxv7z/owf3g8ShnMqW7bUHUvk9tHvv1+LGWOGhgTgAIB6NBw7hh/98IeaSvWr/vx6j32Ls0/hZf+SODuAfTmYggRIgAT8IkCxwQFJig0OYCVdUrlFkky2ZRaU2uva9idAxeJswrDrIgKF2Mj+4Y11kSDNVvmKujoS11ZzkNnlKD7Zs9PkEXOxQRtQ7FwAH2BEVks8u/fMGGMtxQaZlsI0bgh4WayHvxd2SREJCNmxAEvmjJIKhFpX9wF+3j8n5BbAvd94N2XnMyTQuATs50nh+7xs8uSQsc5eTNe6BwgGfb57vNGtu2jJ179YjqNr14VO1ZqfjDRjlSxigzrg9UmZXbDvd6/iTImg2prToW2uw8CLWuKV1StQV/c+Zt9yDSpqTzQQG8K/HVSw/Oe773CCAaCoABK8BfDdd981WpPzy0ikDSzeGxf2aY73Nr4kVS5xo1NxPyVSW7igEnNKs2bNI6IGXMQtMctQKvYRmXVwuLyJqB/xLRmxQaQbO7JfMAaKojd0BrAPPwbwJd0oKVWm2VNkjcLYQadjwKWXWPSn7zBkyM+jfcMgmHT4YSftxq4D+zV+eN3bOy1b6o4l9usDweKbb75Es2anRarPTNT2q/78eo9de5P53cv+JXF2AJmSMA0JkAAJ+EOAYoMDjl4XJMm4yHJQ/BRPKrdIkimkTD2KU4mZmR2ii2+JE6CaDVDoevdL5Y9YugOoq9uDYVfn4vM/fRE81Rc6ASmC3hn/mYsNIr3YeCtuk9QPG5zsptgg01KYxg0BL4t19fe0JxiDBoWPDx60FPDCRr5PX92IV4ULplMHIH9El4j7MDfl4TMkkDoE5OZJrbHOWkwXN+Zq5s3B6r1HgaxRWDKrwFb0EzeTpt00SiO+/2lHLTJaRd3dWDFNFrFBc8PKgXvEaJyGcxRXVe9vfQ2tWrVSxAZvNxvUrp16o//YC7F++a8arXn6ZSTSu8cR66C7JlyLGRMnWJZt6ZL7sWn5ElR/IFwwBeeIcFwqowcrHp+J38xdGIrJ1RYZnTrgnum3YNKNhVIM6+rq8OWXX6KXzkVmKvYRmXVwGEqi6kdWbBDr80G9L4msm6OVx5gN4X3A4U278Cbkb/BoBaWgqGwk+DlpN3adyq/xw+vePpxPJ2VLzbFEbn2gv9nwP+0zYDR/+1V/fr3Hrr3J/O51/5IYO4BMSZiGBEiABPwhQLHBAUevCxInCxG7bCXT5GqX1+T4XW6RJJNX2XoUxs5V990d2sjanwANCxTBE1bilN1ADLy4DZbNu98wyFlNzTpMmzQO39v3GXaJ9C2uRN+rz8Zrz6ywKIa12KDZ9IbeYhTwjWKDTEthGjcEvC7W1d8UC/cPX9mIt8SlH2Qj0PnfWLF4Pvrn5cVk7dNPP8XMaeNUwe06IuOnP8TOLa9I3TByU1Y+QwLJRUBunowx1pmK6UE/xJ/uq8cXIUd/VsbcKAv1c1BEinnT8lAqadRNFrFBc4JV0h1bNE7DiTglM0PngjEqFriJ2aA5OWlx+jhRbdLPdaxWXG6DUwItcef0CbhjbHHMgQ0hKpc/sRBL55RhX/3fleLaH9QIBjofOvhK/HvXe9ioxAM6Dae0bYGxt9yIuyf9QhGEjP62bduG6mcex4JHKzDtiTWYWzxUlSw1+4jsOjhc0ETUj6zYIPJU8dRCvLBwTmh9Hs4lxQbt6Wp5QVK4cSsa1D8kEAcgDMxGt7Odthursciv8cPr3j7Sxqsex9tL7kVZrXBoOwL549vhhUeCce70f6k5ltivD2JjNnRFx15noO7NdTEM/Ko/v97jx7zndf+SGDuAHyXlO0iABEhAjgDFBjlOSiqvC5J4LrJm39oHWaefbluaggKzE++2j6Z4AvtFkmwBZetRWUwOuASHXt8dFANg705p27Ya/GL0KBw68BWEu3jgArRt/09ccunlGD1kkPI/hw4dxNrfPosvDn2EXfu/CGa7Yx76XtAWL618zCYworXYoHWlJF58rmGwSYoNsq2F6ZwS8LpYV39PcafU81yc8PEBbFcEhx8jo2M7nH16G4z6+SC0C42Z6ypX4fW33sZJBz7HHuUF2Wj702+w6qlfo6+DQO1Oy8r0JJBcBOTnSXEy88lZv0LtwQYAxmK65mS/w1hEWuHbeB4yY+e32JD9s2OYNm6MbVXl5OTEGJzFid/1s5dg3RH7YNfiBHify3pE4jQ8OH00JusEFuHX+d0l5ahucz3GD++KBdOmKPkaMbhX0B2QhSsgdV6cxrGxLbyLBHojkdd1rLgRsmbZr7F1f9AfPzKz0f6kBgy/cRQuPidL+a+9f3wXq596Fhn/9zXeOPAPRTAInHcexhZeg/v/d6JtKZRYGj/rjZb1H6M29Bm0yAaObkfh+P/FtX0ui7zjrU0vKgLDFee1w9Y/fKYESy154heYrxIbUrWPyK6D1UDjXT9OxAZhFBV95rNNuxB1OkqxQX1DwWn8E83N6JaDMHFGXkysKzftxqxT+mVk1u/tZcf7bt26oZMqoLHTsqXeWBK7PqisrIxUz9tvbcIr1etw+vcOY+N+ZcFtKeL6Nf779R7bwV8igR/7l/jbASQKwiQkQAIk4BMBig0OQCat2CBVhmD44Mb0zyuVzbglkjei2GXByYKyrm4nruvbFx8ePBJ8bfuBKL2tP+ZZbGrff/9d3DRqBFp882VoM2yVo9bI6HgmBvbrjccWPGAjNIj3WIsNIoXYMNRt2oW94h/NL8HEe0fGbBgoNti1Ev7uloAfi3X1t4VR4ZdTx2HzazV4LyzOWWWu/ZVo/8OjWPfCc8hSbSTdlofPkUDqEJCfJxUhr8c5+P6HB7FDKWCsmK4OeGh0Q86Ki9aPPeDkeX/FBsnay8zGmxtXoZduzFCXo/m5+Vh072iYuTkUN7H2r9+IN9AHfQecYXhLMXzy8Ty0wj+uuhaX/vT/Yf+ut5Hd4igeqW2LzC7/jbhdUuc87MpGCaRsIUhIltaXZBojkYM3msWjEK+oeGox5t0/B9+LCMdWLxaHOb7F9F9Ok3aFJN4WvAU3AX/avQOvKyKC/V/zrjlo+90RvKybV1K1jzhZB6vpxLN+nIgNIk8x6/M0j9mgjSXgTOAVPGs2lGPZpDtQtV+IeMbB1t22G6MeFh+xwb4vKyla5mD+4xNRMjR6gM9N2VJrLFGvDyQ4ZWSheOxIPDHnHsPEfo3/zt8TP3uIX/uX+NoBJOqOSUiABEjAJwJNXmwITinAj7pehXerHsc5HoxHQmwY3fdqbD/4TwCXI398T9Mrkkb1IxYiq345DdV7hOHZ+fPqd4rJ9fVHq4NB7aT+4je5Sn2+0ROpF0neWDitxwdnjsdrK1aFToC2BHAEu/btwwUWbVEYSNevr8LMu2bih82+hy937ccBNUPlxN5hnHPhZbhr8rgYH8DmuNUczkfJEzM0p+yCG7A67N69O/IKo9Oa6vbnR99q9ObBDCQNAbFY93PcDhds27Y3sfzhudi2aw9a/fsrbFdOZIf/OqLjhS3x3bF/4b4HZ+K6AQMkhLukQcaMkIBPBJzNk++/vxW33zAUr+8REYMAnJKJ+xbcj1+OuxHCyN66dbtQvs5H16vaYXftK47yWTL+OmxbXR10g9b8EhRPGYQn7pth+w4hNiwZV4pasdQyMArZvUC71rNLHfrdRGwQvy79VQleeWQZNhw4A207n4g9v9sYcwOi4vEH8cSCBdi6v5smToPR14OGiJE48T9fY7tyiv8UBM67AB1+3ALPPvWYodtFsQ5595nVqN5/ETK7HMW+HW82+hjnfB0bpGElNoTXML995jHMuG+R6lZBmGRLBM7rhvo/vIk77p2FKWPHGPKSqfXwnLLy+VeQ0zUDtXtE7IfonxAYGvbUYuDQQkweOwpXXHGFhnkq9xGn62A1F7HGjEf9RNuT/Bpfe0OrI3IKr8aWlYtkqr/JpRFiwZ1jJmDXF/8CMnujdPJ1lgej9ADCguapAMSo9IO2nbH2t+XIU90O9dJu9N/TjB8W469dRbka703EBrd7/NQYS+TEBjHutfn3F1j45OO45vJepvj9Gv+dv0d+fLBrO/rf/dy/xM8O4LRUTE8CJEAC7gk0abGhqqpKQ8bIaOoE3eHDh1FbWxt5pE2bNg6MvLFGXKfPq/MqfMD+9a+hDb6DQqSvGyVA3x7cstAb4+3qMbhgWK+pJbtn9Buzv/zlL2hoiBpHO3TogDPOOMPUR7BVk1Bz0F8Dlm1K+vbntW/Jfpfpmj4Bv8ft2A3xYXzyySf46KOPNGP5mWee6dro1PRrhSVMFwJO58mamhrN3CQ4iblVnNjcvj16HELMWRdccIEjjPq5Nvxuu5fon3M6z+nXenbfC/9uNg+Gb4F89+FB7Mq6DsNzO+BZlS9vIdpceOGVIvASTsn8iS5Og/HXxbrivffei6wDrfhG40CchIyunfHEwhm41iBujWw5/UoX73WsYHTw4EHN4QmRd9EeMjMzfRNbRHv56quvDL+TkZFhuk5L5T7idB1s1Gb8rh99e5JZ4+vX507W5n71g2R5jx/rev079OOSH+0mzMuP/Ip3uR3v9fOKH2VL9rFEvz4waruy46tf479f7/GjH8Zr/yLalp92AD/KyneQAAmQgAyBlBYbhILMP2cE0s2NEtuIs/bhNXW6tS+vvNLx+VTuk2zf6dhim36ZU7lPNv3aiX8JEzmusa3Fvz75BX8IJLJf+JNjb29h3/TGj0+TQDISSLdxLBnrgHkigXQmQLEhzWo/3SYdLp4T28DTrX0llm7T+Foq90m276bRBlkKLYFU7pOsS+8EEjmusa15ry++ITEEEtkvElMi66+wbyZDLTAPJOAvgXQbx/ylx7eRAAl4JZDSYoPXwvN5EiABEiABEiABEiABEkgEgXDgx7MuvgYvPBV/3/BVz/8KQ4ZNxT0LFuP+/52YiCLyGyRAAiRAAiRAAiRAAiRAAmlOgGJDmjcAFp8ESIAESIAESIAESCAxBMI+wmV8ynvNkfBnLf56qYK0en0nnycBEiABEiABEiABEiABEiABKwIUG9g+SIAESIAESIAESIAESIAESIAESIAESIAESIAESIAESIAEPBGg2OAJHx8mARIgARIgARIgARIgARIgARIgARIgARIgARIgARIgARKg2MA2QAIkQAIkQAIkQAIkQAIkQAIkQAIkQAIkQAIkQAIkQAIk4IkAxQZP+PgwCZAACZAACZAACZAACZAACZAACZAACZAACZAACZAACZAAxQa2ARIgARIgARIgARIgARIgARIgARIgARIgARIgARIgARIgAU8EKDZ4wseHSYAESIAESIAESIAESIAESIAESIAESIAESIAESIAESIAEKDawDZAACZAACZAACZAACZAACZAACZAACZAACZAACZAACZAACXgiQLHBEz4+TAIkQAIkQAIkQAIkQAIkQAIkQAIkQAIkQAIkQAIkQAIkQLGBbYAESIAESIAESIAESIAESIAESIAESIAESIAESIAESIAESMATAYoNnvDxYRIgARIgARIgARIgARIgARIgARIgARIgARIgARIgARIgAYoNbAMkQAIkQAIkQAIkQAIkQAIkQAIkQAIkQAIkQAIkQAIkQAKeCFBs8ISPD5MACZAACZAACZAACZAACZAACZAACZAACZAACZAACZAACVBsYBsgARIgARIgARIgARIgARIgARIgARIgARIgARIgARIgARLwRIBigyd8fJgESIAESIAESIAESIAESIAESIAESIAESIAESIAESIAESIBiA9sACZAACZAACZAACZAACZAACZAACZAACZAACZAACZAACZCAJwIUGzzh48MkQAIkQAIkQAIkQAIkQAIkQAIkQAIkQAIkQAIkQAIkQAIUG9gGSIAESIAESIAESIAESIAESIAESIAESIAESIAESIAESIAEPBGg2OAJHx8mARIgARIgARIgARIgARJofAIHUTWmN4ZU/BnALag8tBQFgRN02ZJJ0/glYQ5IgAQamUB9FcacPgQVIhuFlTi0sgCBRs5S6n7+v6ivmoDThywDcDYKK7dgZUFm6haHOScBvwj8dycWZPVAiVi2nF2GHXunort+2eLXt/geEkgwgSYiNqgnMBmCRpOcxebj+MeounkQhqzYrbw8UFSJd5cXoN33rb91/LMq3HzxEKyoN3rG7zxb5yVQWIbF13bAD868FIO7B2CTdRmIqZdGvWh0knsXC8zjdSswoPMGDN9XgaJOJ9s0lHrsfPktfPx/ItnXeGfJvai8+mXsndodvsw1x/dixYBBeG74WqwvyjKp+6Oo27wFu498oXx/fm29Ks/dUFg2HQW9e7toO+K96/HSylkoqQj2HwQKUbb4JlzT/0p0ai7REhvqsLlmN44ceQdLiuejVk1Teddw9O7VF90DJ0rU6reo37kRb338mUE581BafjN6nnUe8nI7obnE25jEXwLH63fi5bfew+90bdCP8UuqTx4P9cWvDdpaTinKJ16Gs7r1Rm6nFg4L7kM/sPiiVNl87UeqzIj3bngJKyeVoCI0bCj1NeYa9JfqR8fRUPcGanZ/hSPvLEfx/BpNSZV3FfRGr8HdEZAYLiwrpmE7FgzOR4kY37igd9iG0zR53NpMvOai4Hu3bXkOk0oqEJnJlbmyABed52b8SmTdH8fRzXcjq8+cYN4D07Fp7yzktpDt/DJCgkyaRJaZ3yKBZCLgx/40mcrjIS8UGzzA0z+aDmKDem6RQacXxF0yUrdTw7WtTJ8O7vWvvaiHyz3wV9g8rT/6zN8Z3OqXbsLeeblwuluSodbk0vgtNij7vdfxqt6eo+xje6Jly24mdexmbaRtW2eX7TCwX0n0C69r1KObMS2rD+YrC8fuKN20AfNyM5pcU0nFAlFsiNSadQdTCwdANxRVrsXygjPNjfZqgSJwGyrfXYiCdmpjqMzAr25SdgKJfPMLFC7EyhnF6OfYYCb/jaRMmTCxIVS3E1rZbJIbsHPBYPQo0ZjPFXTGg7VLqkq5H0Rb04HXPB/aLwaQU7oUy+7JlxIJjtdvw8N33oopYZFBn/1AIRZWz8XkbAvxSz0BWxY/D6WVD+OegixLkeC/Oxcgq0cJxOEBq79A4VPY/MhoZMmIIS6rhY+pCRxFXdVc3DJkjlZMioGUg7IdL2Nqd6dSkEyflO0H3VBY/hs8UtRNSpDypR9YNhaJsvncj4LZ+Rb125fjzvwJEZEhtosvRfXcm5FtIQTK9knkTEflsjtR4HreOoKdC25Aj5JXgtmk2MAhyJZA/NqMbLt3NBc17EXVA5MxRCfYaYspN1faoolbAq3BwvmmUWazLJMmbgXki0kgyQn4sT9N8iLKZo9igywpiXQuDekSb06eJBJGVU1mk0lsiGbM0boj/JjG2OvmoEDy1GLCc+Kb2HAcDXtX4bbcG033ZeGy2YsCZjdD9XR8Ehsir3W2xw4+pjukQrEr4U3Y6oNNUGxwezXPbvPxLT6rmoKLhzwSOm1lJCCEUavTmgkTfky6dnkW+QmdnjvwIV5UnTxFoAjlmxehKIuas1EHiYpLEsJSzAuCm+UbMN9G1U+E2BAagG8AnjY9HSjyMRlrWg1Az5YZ6JanvnEg2s9arF58b+RmgtTNnobdWHHb9SgWQoNQq1fOwK39xG0BcYr5NTw2e2rwfXbtUEzA+WvQqshAiRen0KtXY/GE8Ilq+7r6785HMGHLqcjrcLp9OXkqI0GT1VHsXXEHcotXoB5C0JqFe4p/rro9oD75vh6Hhz3sQmyQ6ZMN2LnoAWzJ7IkOrXSnPmLamuSpCb/6gWVNSJTN534kFnbqBa1WwD6KutfKMXvMFGWxa7dp+e/ORchf0xxFPU9DS92tEXHTpXr1YkwIn9A2FO5lmqlu/haPUGyQAZfGaeLbZnyfi45/hs13F6HPnJrgnLt0Ekblh28DiXn8OTw0dVro1uLVKNvxNKZ2b5l89as3WDi4TRwsjMy6WCZN8qFhjkggMQT82J8mJqdx/wrFBh8Rp0O78jq3uGTk6GZDrJ1MuVW+bQuq1DeUHe2BY429UgdzfWxdKf0qn8QG7cHoPJQ+9QBuH50duRUe9B7wMf7vyDtYcXgYqmM8aLhpv07FBr2IYXQbV3KPHal0/SEVsXC0stOmdGtJucxTbIhUmUQH07tTMhmIrd0nhT/ockLRNDGJPKvTqzej4v/ZEY07rKqepQzr+rcom+VS4GmHV7hUiwX/bjZIGCJlhi21KwnYGSpUp0HN2pjaCJuzEDtenozurm4RHEfDzocxuMeU4Il4T+8CoC6nY/cNMiCZRktAXX9uTjNI8nTbJzWv17Y1+yvCCeoHcSibbT9S9RPjMVItRgSQU1aNl6dmS90Eia1R9elyd+/SLsBDX6DYINl50jNZo7cZh3NR0JVaMWos5mfN2tSRISFRbeBfqFtRiM7Fz+s+OBTlMi4pladk1sUyaRJVZn6HBJKNgB/702Qrk8v8SIgN0bHX7WFHl3lLisfUY7bdSeh0aFde5xaXjDyKDeGmpF33OJh3FXfNuSiuUbtgBpBXjn3ri9BJ1gtiUrTpRsiEL2KD2uBuZ6cxK6Ob9utVbAjnRXfAx0HbiY7B6nIFkFe+2cJ9eCPUc5p+kmJDpOJlOpjOsGm4qVN1dktjvssJRdNQZfKsa9ku40+kT/9Q17GDiTYCSOYmgQnNeIgNvhgiRX61pxasxJDoYsXKMKg1Mtu6JbNsgOoJ1q2bnfAH1LdNvL4rfXqN65KqF6gOFhbOvuehT+o/5GBBmJh+4GPZINuP1AtCqwWthNgiW5Hq085ORQKNePwsqgdsQc+hy3izQZZ9OqZLijbjZC5SGXws+4eqj7uIRRX3pqCeD3JuQ+kZr2O+4obRyaZRZl0skybupeUHSCBJCfixP03SojnNloTYEHWJl45ig3qeotggJ3ZbNUKXfc8nsQHS+wBtGaLG3gByplyPM36zMOTGx40dxWknbQLpHewtTUvrxzukDmvEbIxVgd/N3IBLrrlc7fXUgmceppRm4Dfznwl6oYmbXaEJtLkEFoFigyOxQSTW+fDVnKR2YkB1OaFoGodk59U1KK1y7fSqUgJbZ2N8KnKaEC5P44Y285/fhUMrCxBwUgbfxYawQHAYSw8tRUHAW7hpjXJsaqhQD/o2iwzfDM3qb3pd7DtZODupXKaNJaAWsOI5Dnnok1Zig6WxLlH9wMeyQbIfOei36g2IpxMmmlNTdhtadaWphBFF/J+PS9+ZgtOHUGzgiGRGIFnajJO5SJXW8kZeVGywv5mV+BaiHS824rmznkaXcKBo6U2jzLpYJk3iy88vkkByEPBjf5ocJfGcC4oNNgidzFPp0K68zi0uGfkmNjg55BBuGvr9zq9wVvl1oUDRTg4KeO6tqfsCP4QC2zYgg8dN+/XrZgMANxz0e9LnzkJ5l3CgaIpdMrUe7zQUGxyLDTpXK8LHeNhFhK1rCXV1upxQfBAb9IJJMm46493wjd+vmjDduuNRBr1BeG74WudXt3wXG0Llea6/L9cYNQEtzQyt6kHf9gSy+iS1lwlBvTjyKDY4MKQ2ThttSl9V178TA7JDBl76pO5T0sbzRPUDH8sGyPUjteho6+5NfUpF2lhoUL+aANfybSU29k47/LVqAsUGhyC9EusAACAASURBVF0onZInTZtxNBep15MW7ugi/TGe4q7b1mJwK/iUNzEtK7xplM2zzGZZJo3bcvA5Ekh1An7sT0PxAj8+go9enBOJ+RYkk4fS8okYNiAP3QMn2sIK+hl/D79bcm8o5ox4RMT3ug8Te3bUxV/TGawsD4WoxgGz/YqF2KDZE5mUQlkjTfkRKiIuZmT2Oqqx0Mu6yZZsMIGRv/4I359dhbxcEW9P/2ceczCaUn873KxdHUXd5vV4aeWsaGzAwjIsnTQK+d0DsPbAY+TvPdg2bh82CINNnzfOizZOmJvb7V7nFpd9z9bQLPteF/ty1To/6FY1H6fU3o2s8EGBRnBJHI5N8J+PXsSkcMw3pWHKtA2TOmyow+YNL2FlJK5FNxSW3YdJowZJjGOindZg/ZolKJ5fE+oiYhy8BT+7vC9yO+zHgqweKPmzh3hymnhXqehGCYDjPaP60GI4buePUDutf0jsAmjjlJwI4piMYkMErpMJwsid0hL03jIRPUpekYyFIDvwW9W+kzyr36ML5GNrFI5jC0yiV3sLCh1atCl+kzdguLR/YRUAv8UGXw2Rkm6U1BOFrZsGdR+QNSQYNRhZ9y92jU0dqNjtRG33Df4eIeDImOaeW9A47rJPqj/rJM5IgvqBb2VTyinTj9TjgIywp5qjvGw43FytVdVXNK6EaszhvOe+UzXVJ5OmzTifi7Q3Vg0EB1XMLlexqOJd52qDRSSehPYmsdymUWZdLJMm3gXm+0kgWQl43Z9qT7qaljJQhPLNi1CU1cIkyVHUVc3FLUPmBGOymf3p9xrqwwnJIDZM7YqPIrFo7E96q11weroRatu81POMeeJA4VJUz70Z2RphyB+x4clLP8HDd96KKYq7PP1f2Hh4prHgcLwe2x++E/lTKoIuUwyeL1z4GOZO7hUJkBtNom/jm/BIl1rclntjyP2PSJmGYoMnY69qH6+J8+hlf2/biGMTqIUX08etYgTq1wcLcenBJ3Fn/gRV21C92C7+qT5eakye8lD67M+BGeMw34vYoNnDCV2lEAur52Jytp1gp86Qm7WRXzcb1PtL+3EymGv1IZXp2LR3FnJbQBvL08ve00Xz4yOxBCg2RJg47GC62AdRtLIdxOtiTnzRYZ7V9a8ZjOVPijbdTuTHSRKPNwl8Fht8NURq2rv5wkF96tneMOBmYoltgRoji5tJ5Xg9dr68Db//3fLgiQNXE3TT7RlxK5nRiTFxcqTmdbyqPsEWKETZ4ptwTf8r0clxEHGPfTJ86kt1qs5446WllJh+4L1s6lzL9SP1dWmZDYSLU1IxDU4bNMx+XBEvUBkpc2Zi0zPTkatslCk2xK0/p/yLk6DNeJqLvkX95jkY2WdmxDAXKFyIlTOK0e/0Q6h6YDKGzK9BoPApbH5kNLIcj6XxrGBzl3oa941S87vMulgmTTzLy3eTQDIT8Lo/Fc/PxkNHuqJnywztzYOGOrz22GyMCZ02Nhc+dS6LldsQ01A8LCe0DjyOhro3ULN7P9555zTcPu/aqNvaBIkN4RqUitkgbcRVrbHsjJiempBOyNXfJNDVEzTrKPWHPbhRKr8f566aipJ9/VC2dBJG5XdXRIHj9a/h7pFjMKe2HjAd89UxwQpRtnIGbu0XuoGhybuZYKFt4yPn3ISTF9+N9f1Cc2YnMwHMDrrXucVl3/PjZoPGKC574M7I2Cvuoqj3Cgk+XV7/IqY99AV69jwNLbv1Rm6kLo+i7rVyzB4zJSgamPYvdR0WobyyI1YNmY59mj6iXW+Z70v0/UzdvsRth7VYvfhe7c0vDwehtIdORFsVty8WYMat/ST3z27arz9ig6bfy3oXMTykIjbu6oDlMntVu37N370QoNjgVmwQbfmzKtx88RCsUEvqsh1EbfSwrUEzMcDNoBD6mMYthcy1TttMpnAC9U0V2QnWoLhebxL4Kjb4aYjU3uSxOhWpvlZs62JFue28AFk9ShAU83dg79TucBZZQj2R25yCiVSZyYmcnFKU3z4MAwYHF7z8iy8BrUG+Bu8W/wOLb5mguiav+77tKTif+qRmbAy/U+bqbfT7Ttu10/TKl7yONxpcsv3IqT9Xp+kN6lB9Qkpq8201nlNsiG+vTtW3N1ab8XsuOo6Gvat0pzPDddIN5qc8G7neNIGhF2LHy5PRPSyGaDaNMod5ZNbFMmkamQk/TwKNRsClwVM2v+o+bWhMNvIe8DSmdm8p94VkFBs0p44tjF8qNnIHK+SQaFPp9nSmArTMQQ+3YkMoR4Yiht2hFnX+TViqD8gZ2mX0t28CyJm+Es/M6udx/6eeW2zqxvDWjeStIKtXGxqrLfp0zCEvq1P/upak3BwvRo3apXgoieagAJLFzmTXtkTm9XVo0jZsxzFAs89VXEwVoF2MfUF3g8uD2AAIEbYaD8TspfNQ+tQDuH10tk37dtB+TdqgsS3HbM0VEo3fXI8lxfODB2Wk9/rqutTb7rRiFwNFu5kn/HumCYoNdnD8NNxrJ2LAiXrmZELxM88hPhqDmpurgnacU+h39eLOdDKQKI8iFjyItps2YF5uhsQDuiS+ig3BgX1C28exd14u3J7RUGyamlMmIsjqQhS0M/KzKulqSVVsV0bWyPO6kwXSdWd1/deJD0bnVcwnogTUdR8YWYjeWyrwTOdSlN9TjGFhH7HipO+qhzD1RqeLkNB33PRJQ7Eh9D5xy0J1Asu4PhPUD9yUzTDDTvqRjKsl9Uc8ig2ak1aSYmJEnEA0nlIkSxQbOAYZEGi0NuP3XCQ2bq/hsdlTdT7SRZn1J4OTpyVYx8LRuf209WEuIyTIpEkePswJCSSWgB/7U6sc2xioNTepVXERZSEkpdigHceMhQTzG16yRZdLp17H2Ryw04i9RgZjD2KDxeER69siMp4I1CyN8q1r49IHRe0IOzDWNprYYFGGnFI8teB2jLaNlSHeoQ8MXYGiTierXq5uZzIHBezY+vO7/U0kbR2aH7C0a/sO+pmbwMiWQ+zeyG1WTTLb+nXQfk2+by82mGVcHOqbhwW3D5eIgaG7vWC0LtTEsEgWscufNpxqb6HYEKkxN5sP/TVPIciZKZf6puHHyRE3eQ7lgzcbQiDUgpGXwSi0sLkBeFrxGefiaLyfYoMyyJYCT7sUPkJ0tEKDnX/VBBlZlbzpDKSeXEOI4GRb8If3qlSBpPIwfdMKzMptZxOcLNWG/OTJb0xwPdPFvhNjuLp8PvRJ8Trl1M8OvKcOcmh6pVw8kIh+4FPZHPejBIoNOqGhsPw3eKSom0GgQnWdq13h6E5IK8koNiTPCJAsOUmmNuNlLlKPk+IWwxyM6bIfK28KuQwI45Y+NZao+rEzWOiCBtqekJRZF8ukSVT5+R0SSDYCjSw2eDUSJaXYINaS27FgcD5KTN0DqdZXvhm/DdqWtEsn8ax6fDaK02VncFV/X92urI3PlgZhM9cpuqJaG5X9sMEY9Vuvc4vLfDlyo2Q23jj07GAbd8/pQYHEjIPOxAYru5BN23cSa85vsSFsJzFy0yRcK5nGMnHTfp26UTKpZ4djnvUhFfGN5BS7EtPKk+srTVBskAla6ccEob/mGX6n7GDtckLRZN3NoBB6gWYxl74xG9SusLxdWQ0OajdgvvubBL6JDf4YIp0JDcF25fSmgtP0wa/4KTSoO5TOBYWUy5bkGtBTKTdascHudNXHqLp5EIasEEHkZEVBH/qkBqg2mF7juhPzo2xu+pHTmwpO04eAuxIaZNzhUWxIpTEi/nlN1jbjdC5Sl0PnAkHve1uBKrtOjX8NQG04Mj2so9005pRV4+Wp2SbCo8y6WCZNAsrOT5BAUhLwY39qVTBrI51mbejGpUiyig0aw32sJ4REBYZ2FlPMbl/nVmywttVYGYRjDirZ9iEjYSNebdzr3OIyX47EBjV7nS1L2uCrFhIsbh1rbE3Jse5wJjZY2ces277GjZRloHrFeIIFWT1Q4ilAtFlH0MWqUJKZ3Rhz036dig1qpupD205usaljhZh53NCJXdJt23ZAYQKHBCg2RIA57GDqEwo5U1CWvRslIris+JNq0C4nFE0FO8yz+lnbiclhS0rJ5OpBzuMk6MdNAt/EBq+GSJ2hI2c6KpfdiQKJgFnOFrFuAkSrDb7iyt1SLLsnXzLwkUwjlfFRKvMeprEjoFmI2W4oZfxs6r7oR5/UFyJZAqV7LpvbfuS0HlwEiG7YjRW3XY/iCiEs5aG08mHcU5Blc6NB7e6tNYoq12J5wZkGt5IoNtj1y3T6PSqoJ2ObcTAXqdajxiKogR9fqWDL8W4N8m5D5ANFy6yLZdLEu+x8PwkkKwE/9qeibOEgzl/hyDvLURzeI2uKHWvM0xiT7Yx0RgiTVmzQ+nDX+hGXuOHlU3NxesjLuj5SQWwwignoVxvXV4rXucVlvmxtOlbvdWPwNQsMrefRiIGilVvpu3HkyDvReACa7JkJXrJ1KC+a2sakjKvYECp0g961kpHrd9myq0F6ERt0N75kD8JI3m5ioGifJg2Pr6HY4EpsUG8CQ0bqznXR65GmiqFZ50zUbYzw92V8R3psWSnwuFzgHpmChHkextJDS1EQcBbiOPIFv8QGZRAeh8+XbsHKgkyZAqjSaIWGQOFSVM+9GdkBoxgNBq9Wn2Kw3SSoJyiZeCdqA2kcg12qF222/qEd4mXyKAEnV0w1rolkxkuf+mRMfUleA49rP/BaNi/9SD13yNSDauEqY9xUCw2BQiysnovJ2QEJV2ZO3D4YdELbsYodt+kRSIE2IzUXqfukTfwt9SEZJIMPZbUY6aSFWa0XZDbLMmmc5IdpSaApEXBp8FTvJOq3Y9VD9+BGQ4FBzSq9xAZoDqyobukmJDB0kHtTEhvceyTw3saNe7zXucVlvjyJDS4MvpobCw7GPpl9gIPXGSbVx/ozfV+aiQ2Cg+bWOBDbf9y0X49igxCldz6MwT2mBANE2x7Y1t1YcNBe3I8XDj7CpDEEKDZEkMh3MPVVx+h1br1bJbuT8i4nFE0VyudZW/PqDZ6Mkbcp9hw/GYSU++f6Y9/6InRyEa5BIeyT2BAUUTZg+D59sCb7etS4lXITB0Htw9H2tLqTU89qgU/nJsK+WM5SJOKEgbMcNc3U6rZiuwCVPwEbhOVTnzQgL7VRi1s/8Fo27/1ILdLantZx4htYvQl37Fc+BQzHTbMXp3CpUqDNSM1FTk6WJtdBE81tBYctyXzTKLMulknjMENMTgJNhoDH/alO1MwpvQ8TL7sIlw7ujoCyP3LgfsR2H2G4SIu6JLE8SKAaB8y+ozbimrzL3i2LOo9GN7o7oWHz3cjqMwf1iP+e3JF7F1txwsn8I9+urJhq8u/6QJh8Xpx1a69zi8t8eRUbdLHmrA2+2tsKzvjEu33rYqnmlKJ84lU4/9K+kaDD9v1Vtg5T7GZDqKKs+49s2dW17lVsEO9y4CpTE7TeWeuDra3B4fuYXIoAxYYIJskOpjaI6NU3zYkFu2DRLicUTbVK5lnXFNQGZXsFUaodpVwi+Sv5EkVTBr5BeG74WqwvypI4hWvyTl/EBg9GVo1rsJnY9Mx05MreaIgUycFVYNvgUuGXqoW8AHKmr8Qzs/qFNi0S9eM0iaMT905fzvRRAg7aijqwr0zMBr/6ZEx1yQZ/dlA26X4QXim6HW986kcO8msfwCsMWL1BiGdwdtXmwI0Rg903DQk0YpuRmoucGHu0p1rRqDd6HIyR4VYnFThWZl0skyYNmzqLTAIKAS/7U3W/NjsY5CCwqsx6T19rsm6UZA6F+C426ALeK3aEUfj7AwPRZ/5OJMQY5uQQSNwCRLuP2aCO8yMfwy2mkaC+agJOH7IMgMwtXdmhwevc4rLveRYbxKl3dWw8C//5DvYAQWqJCxSt8VhhcmAyUWKDI1FP6mCJbBu0SWd5Y9ZN+/VDbBCXLqpw88VDsKJe5N/8wLb8vjLMgYGifWo5rl9DsSGCTqaDGbhP6t5SA1/bWSyC5nhazIU/KZNnXdvQTCZW+XPdplLgQa1/wrzyzZ5EAi83CTSw/BAb3BpZNe3C7laOdRUb3/zRP6MNaGnuY103Adler/Pa/JLr5KfX0iT78+pFg3XQT9ViQeIkk299Mgag/I0ov/tBOCtuy+afyGw/DwbzqhpnLYOtq9/nJECYm9bdiIZjN9nlM0lAoLHajOxc5CSOips4SXGqAscGC5EPmU2jzLpYJk2cys3XkkDSE3Bp8FTKJeM60U4gdXDK1YillOFO7U5S2JvLsGPvVHTXe8F1JDbIuqbTriOnPF6II/dOxop62ee9NiD19232e5pTxCq3T5EsqOvS6Hd1XuXblbVB2GP7ULIknxdntL3OLS7z5YfYoHjZsTf4Ojf26gQ2NwKiVCXIuWZOlNigCfpsc6Jewz3OB6GsY2u6ab/+iA2ANk6Z8WFoF4dUEih2STXTNExEsSFS6fYdTONipnQT9s7LRYuYRqPrLKZGFpcTiuZ79nnWJNf4akvACfFk7VBSp+NkM+/hJoH+Ez6IDe4MkTqjRlEl3l1egHZu3UHJGBnVvtktBQT1ojL+4lg0YKiQ1r2JLrItKL3TyWx65IWpIEsf+6Smcr5F/eY5GNlnpqRfSQlju3Q/CGfEbdl87kcyAWn3rsJtuTeiot5GQFCPx5aihB89pbEMx37kne9oHAJO2oza8AJ4uTngZC7SnKCzmk817k3sDEPxpO1W9JA5ISmzLpZJE8/y890kkMwEvOxP1YFjb0PluwtR0E4f883eharW6On0tqOd4KETGkRVeBAbrI13xvVs7ELObkz2a37Run0OmLrM1dozjF3XORG75duVnUHYW/ug2FBYaRbT0c7ga993jVu8zUEBtUDo+qaJen1gZi+QWXvIrg/sRFPtLS+zQ5XatZ7FWGQzZfx350rc//tM3DAsB52amxhwNHbAJAkQrS6X3e0aR7eyVC/21e6XzHN3cuaNYoOs2KDxJ222gAq9TO9OyVCYkJ90zZuO3IB4vH4nXn7rPfxuyb2YX6vcT4L54iI5G6qfudIs8jwryME6mND2cRPxyUHOPYsNoTY1oRU27Z2F3BaSaoHGAOGTP0VdoNeylTNwa79OaC4CAdW9hsdmT0VJxW7hawzlmxehKCtWthNXLzVBgzz72hMLg8lY02oAerbMQLe8K6MTsggoVb0aiyeUoELpImksxjlosn4k1S608lD61AO4fXR20E2Wpl5k68RlnxSL3fw1aFXUEy1bdkNermivwT8xhlavXowJJRUIjqCSm19f+oGaspuy+d2PFCJoiIgJYj5ZiJUzitGvk+jHR1H3Wjlmj5mi9CXruUbrXzX+wbucGI79aN18R+oTcNJmZI1Bfs9FBn6K7ynGsMgYdhR1m3+L8gfuDq0B4xz3yLbS1QbJ6c7WK5qTtm43y3JrZ9tiMAEJNEkCXvanOgN14VJUz70Z2YpLVjEOrcdLK2cF1//B3SiMb7XqDncgD6Xl01CsNqQ11GFzzQ68V/M39F56m+pWgu62ZMT1qth/1GJN+TwUzz+EosolGPDiWAyt+LMnsQGaMUm3hjVrHwZ+xwO2B71k5xeZRqkVXAKFZVg6aRTyuweCroAb6vDaY7MxJrzmzTF3rasVu0vx1ILbMTr8Hk1W5NuVndggTkFrDv8o7WMihg3Ii/jmD7a3Ldj9l514p+XNmFeQqcqNfF5kaEbTeJ1bXObLp5sNSjn0MVfKqvHy1OzgfkhltHW6Xrd0X+2L2KC7mREoxMLquZicLdq06PtvYMNLT2JSZB9nFoxYtg7txAY9S93YIMavNeV4oHgVMGsSsp+cjvl/9iI2LEBWjxL8Gd1QWDYd13bsrIqTox77aixsHLJlV/cKv242hPaW6mDRmkOfTmM3qvOojTPitO06GwOYWk+AYkOEiFUH0wbVtHL5En6d/VU0N8EJb0HloaUoCITvearzLNu4JRdCsq9LuXQ+DzjKxFsKPL0B83IzvNHwLDYEN/A3YL4z4UO9SJEsgW1gWMVAuw0P33krpkQ2FbqXaxYCRh9200dyULbjZUztHjYTq9+rW6iblrUbChc+hrmTe8UvLoQk53RJFnOyI6bgskJDeDHsok9qFrsW5G3brfZZ7/1A9T5X443f/Sicn29Rv3057syfEBLoYpkFNIYGI6Yu5jBPArETw3G69D6W05qAkzYjawyKw1x0vB7bH74T+VPCgqhZqfJQWvkw7inIioipCW8BHgwWkZtrxc8r2Y7dNMpslmXSJJwKP0gCSULApcEznHv1IQujtVzpUiy7/XS8NLIAJaEDcIDR2t1+jaG83mhNYJmH8Bj4I9SM6Y0hXsUG/cEoVZnN90r6ILsyB71k5xfZZmRww8PgUft1nE7sjrxDX6fy7cpebBAfkWwfhifl5fMiSzOYzsWaVhM7yWW+/BQbYtpz+JZ/Cxz1Esjc6qCAT2KDEJj2rrgDucUrQgfDdLWXMx2Vy27BmS/dhh4lr0R+1PZT2fWBhNigO5hlsEsKxqGc2Qqru/RAiS9ig12LtbJxyJZd/Q0/xQbxXv3hGRHXZjK6Nz+s2LjcxrbxNVarHWL+riFAsSGCw7yDadwn2Z48CL9Qt5CIudruxgDkVmwIqZwdTtee5k7LziDj81cWTEhlvQF42slNArPXexUbXBkiAcRJbAgW0+AkU6AQZYtvwjX9VTcLDJm46SNWYkM4P1uw+8gXeEd100f5fE4pyidehrO69UauckKbfwklIG4xvLwFW6rmqE69Bceugt69MdjwpJQ+hx77pHJSbjeOHHkHS4rnB90lKX8B5JTeh4k9O7ocQ730g3Ae3JYtHv1IxV0w2/ASVk4K3woStxnKsHjMNeivuh1i3JZcbMwoNiS0W/Jj8RAb4jUXBU/v1fxhB15U9cfo/HYVzr+0r+rkZ2PUrnpt7M5VoeYwT8yNR5nNskyaxmDDb5JAMhBwafBUZz3mtrB+LSfGqmo8cMuE4G0rq1vOyrrsdbyqWbNL7Gtj1ibimbsx5poBoTW+ahzw4EYpWGz9yWHxfzauXzUuJGVuePktNoRyLrwfbNuCKs2cEVrz/uwqzS1f89apvz0nls16LxDy7UpObAjlxnDvEN7Txd5UDj4lnxdnPdLFmjbpxAZRYgOD74s/w++H9kVxTT2M/enbkbJwy+Wb2CDy8C3qd67F6sX3RvaSyp6koDd6De4ePETYsBdVD0zGkPnilL/+pqfs+kBGbFD1sfVr8JBqX6nZJ0nFmbHjG7yF//JbH+P/Yvaw4f5gtwaULbs6L36LDca3a168ZjeGdi5GjeltOBs+Gq8zMuKuPW+mkCPQRMQGucIyFQn4S8DlTQJ/MxFebQVPHPglfMQlj3wpCcSbQDL1Sb/L2pTL5jcrvo8ESIAESIAESIAEkpNAVDR1Fhg6bIg/Zho7MjnLy1yRgDWBsPH+Hyjd5IO3COImARJICgIUG5KiGpiJlCSgnEoZh8+XmgVaSmSpQjc2Pr8Lh1YWIJDIT/NbJJAsBJKqT/oMpSmXzWdUfB0JkAAJkAAJkAAJJCcB9Q0vu8DQ6hKETxG/hLzyzVhflBWMscA/Ekh5AuFT9RehfF8FijqdnPIlYgFIgAQAig1sBSTgkkDQ/9sGDE+GSVHxhTgIzw1fy8Wny/rkY6lPIKn6pM84m3LZfEbF15EACZAACZAACZBAchJQB+HNK8e+9UXoJKMahJ9DSciPucxDyYmAuSKBKIHjaFACA5cB6oDUREQCJJDyBCg2pHwVsgCNQyB0KuW5/vKLxDhmlIbIOMLlq1OEQHL1SX+hNeWy+UuKbyMBEiABEiABEiCB5CQQir/VZw7q4cR3uHAzMxqLMRqTRg1q5Ng7yUmWuUpRAiJmwYWLgfsmYVR+KK5CihaF2SYBEtASoNjAFkECJEACJEACJEACJEACJEACJEACJEAC8SKg3ETPDQbajQlwH6+P8r0kQAIkQAIkkHgCFBsSz5xfJAESIAESIAESIAESIAESIAESIAESSAsCYXcxU1CLAHLoMiYtap2FJAESIIF0JUCxIV1rnuUmARIgARIgARIgARIgARIgARIgARIgARIgARIgARIgAZ8IUGzwCSRfQwIkQAIkQAIkQAIkQAIkQAIkQAIkQAIkQAIkQAIkQALpSoBiQ7rWPMtNAiRAAiRAAiRAAiRAAiRAAiRAAiRAAiRAAiRAAiRAAj4RoNjgE0i+hgRIgARIgARIgARIgARIgARIgARIgARIgARIgARIgATSlQDFhnSteZabBEiABEiABEiABEiABEiABEiABEiABEiABEiABEiABHwiQLHBJ5B8DQmQAAmQAAmQAAmQAAmQAAmQAAmQAAmQAAmQAAmQAAmkKwGKDela8yw3CZAACZAACZAACZAACZAACZAACZAACZAACZAACZAACfhEgGKDTyD5GhIgARIgARIgARIgARIgARIgARIgARIgARIgARIgARJIVwIUG9K15lluEiABEiABEiABEiABEiABEiABEiABEiABEiABEiABEvCJAMUGn0DyNSRAAiRAAiRAAiRAAiRAAiRAAiRAAiRAAiRAAiRAAiSQrgQoNqRrzbPcJEACJEACJEACJEACJEACJEACJEACJEACJEACJEACJOATAYoNPoHka0iABEiABEiABEiABEiABEiABEiABEiABEiABEiABEggXQlQbEjXmme5SYAESIAESIAESIAESIAESIAESIAESIAESIAESIAESMAnAhQbfALJ15AACZAACZAACZAACZAACZAACZAACZAACZAACZAACZBAuhKg2JCuNc9ykwAJkAAJkAAJkAAJkAAJkAAJkIBC4L+or5qA04css+QRKCzD4mt74Ly8K9Gp+ffJjgRIgARIgARIgAQ0BCg2sEGQAAmQAAmQAAmQAAmQAAmQAAmQQFoTkBMbIogCRSjfvAhFWS3SmhoLTwIkQAIkaj6gjAAAIABJREFUQAIkoCVAsYEtggRIgARIgARIgARIgARIgARIgATSmoBabDgbhZVbsLIgM0qkoQ6ba17Hq0vuxfza+uD/5yzEjpcnoztvOKR1y2HhSYAESIAESEBNgGID2wMJkAAJkAAJkAAJkAAJkAAJkAAJpDUBG7EhxOb4Z1W4+eIhWKHoDd1RumkD5uVmpDW5tC/88b1YMSAXxTX1QGElDq0sQCDtoRAACZAACaQvAYoN6Vv3LDkJkAAJkAAJkAAJkAAJkAAJkAAJ6GI2GNxsiDD6Cpun9Uef+TuV/zm7bAf2Tu2OE8gwfQn8dycWZPVAyZ9BsSF9WwFLTgIkQAIRAhQb2BhIgARIgARIgARIgARIgARIgARIIK0JyN1s0AeSptiQ1o0mWHiKDWwEJEACJEACKgIUG9gcSIAESIAESIAESIAESIAESIAESCCtCciKDf9C3YpCdC5+XqFlLDZ8i/qdG7Fty3OYVFKBYISHAHJK78PtwwZhcPcAvm/I+iCqxvTGkApxRP4WVB5aioLAcdTvXIvVi+9FScVu8UHs2DsV3ZWrFEbpT8Dx+p14ef0aPFQ8H7XKd/JQWj4NxcNy0CkSX0LksQbr1yxB8fyaYG5ySlF++zAMGNwdAeMMAsfrsfPlt/Dxfz7Ci5NKUBEKXyH3vBnjo6jbvB4vrZwVLKOgVViGpZNGId+UVRigW9Y+5EUtMpj1HU19pXUHY+FJgARIIG0IUGxIm6pmQUmABEiABEiABEiABEiABEiABEjAiICs2KB2o2Tgbul4PbY/fCfyp4RFBv23uqFw4WOYO7mXgUFfLx48iC7rS5BbvCIkWCjqhoXYsBCX/rEMI/vMDIkM2m8HCp/C5kdGI6vZXy3yGEBOWTVenpqN5jGY1Pkzb0WR78QEzo5l/OSln+DhO2/FlJDIoH1rNxRVrsXygjONxRlPrH3IC8UGDiUkQAIkQAIGBCg2sFmQAAmQAAmQAAmQAAmQAAmQAAmQQFoTkBMbtAGih6J8XwWKOp0cIncEOxfcgB4lr4ij+ShbOQO39usUNNo31OG1x2ZjjHLTwcyIrjbmj8ScspOxuGQ7+pUtwIxb+6luJYQrSp2+COWVHbFqyGKgdBbuKf45cju1ABr2ouqByRii3F4IIK+8CouwHH2LxXvvw6RRg9A9cCKO17+Gu0eOwZxacVVBXy7V96Ytx5GeF6Bly27Iyw2VDcfRUPcaHps9NXQzwax8Osbl9+PcVVNRsq8fypZOwqj84I0KTV4C07Fp7yzkttBftfDK2se80I1SWo8cLDwJkAAJ6AlQbGCbIAESIAESIAESIAESIAESIAESIIG0JiAhNjTsxorbrkexcgpffwPgOBp2PozBPaagFt1RumkD5uVmaIke/xhVNw/CkBW7gZyF2PHyZHTXnP7X3xzIw/RNKzArt52E2yXxqW4oLP8NHinqprmVcLxuBQZ0LkbIWZLiVin2vcdxdPPdyOozB/WwCpBt3kjU3wmUbsLeeblooUmuZhz6IWcmNj0zHbmBE1Up1a6qjFj6wdqvvDBmQ1oPGyw8CZAACRgQoNjAZkECJEACJEACJEACJEACJEACJEACaU3AQmxoqMPmmtfx6pJ7MV85+S8uLoRcEkXEApV7pbxy7FtfhE4xcQ/UBn2j2wNqscHKnVG4oiTTa9z9mLsm+u/OBcjqUQIRMcJV4GvbE/46A3/gNlS+uxAF7dRCQ7Bs0bwYCR9+sPYrLxQb0nrYYOFJgARIgGID2wAJkAAJkAAJkAAJkAAJkAAJkAAJkICWgMFJd0NE3VBo5Nbo6GZMy+qD+fWA8al+GSO6ccBn85qSTG8rAujzlgixQbh02oz1RVmGtzYsxQZfWKvr20NegsoIFmT1QIlQaQorcWhlAQLsXiRAAiRAAmlLgDcb0rbqWXASIAESIAESIAESIAESIAESIAESUCzGqK+agNOHLDPEESgsw+Jru6D9pX2VGAf6P/WtADmeRgZuSfEg8gHJ9JLG8MTebLB21WQlNvjDWsJtVoiz9S0Lig1y7Z2pSIAESCB9CFBsSJ+6ZklJgARIgARIgARIgARIgARIgARIwICAvPHZCJ9zA7jR7QFJ8aDRxYajqNu8BbuPfIF3VK6lNFwMT/jLM/ZXbDBi7U9elDJLijnsdiRAAiRAAulBgGJDetQzS0kCJEACJEACJEACJEACJEACJEACJgTkjc92YoOVGyVr/MkuNnyL+p3P4aGp0yKxK0zLkyCxwT1r+frmzQYOGiRAAiRAAk4IUGxwQotpSYAESIAESIAESIAESIAESIAESKDJEZA3PhsV/XjdCgzoXIwa8aNpgGg7aMksNhxHw86HMbjHFNQqxchDafnNuOz8XhjcPRCMu2B7wl+esZWB3x/W/uRFQWFbbrt65+8kQAIkQAJNiQDFhqZUmywLCZAACZAACZAACZAACZAACZAACTgmIG98Nny1KmgxMBTl+ypQ1Olkh7lIYrHh+F6sGJCL4hoRAbsI5ZsXoSirhbZ8tkZ3ecayAaLds/YpLxQbHLZxJicBEiCBpk+AYkPTr2OWkARIgARIgARIgARIgARIgARIgAQsCMgbn41f8hU2T+uPPvN3Agggp6waL0/NRnNHzJNYbKivwpjTh6BClK50E/bOy4VOapA44S/P2Np1kR+s/cqL7maD61stjhoKE5MACZAACSQxAYoNSVw5zBoJkAAJkAAJkAAJkAAJkAAJkAAJxJ+AvPHZLC/HP6vCzRcPwYp6kSIP0zetwKzcdkEXQ1J/SSw2qG5uBIoq8e7yArTTF0x9u8PQ6C7P2C5OgnfW/uUFmlsf07Fp7yzktpCvdammwUQkQAIkQAIpQ4BiQ8pUFTNKAiRAAiRAAiRAAiRAAiRAAiRAAvEgIG98Nv/6t6jfPAcj+8xUxTWYiGED8tA9cGLosaOo27wFu/+yE++0vBnzCjJVr0tiseH4x6i6eRCGrNgNoBsKFz6GuZN7ISBs6g112LzhJaycVIIKRWgRf1ejbMfTmNq9pap88oztxAbAK2s/8/Iv1K0oROfi54O3WkrnYcHtw1V1Ho/2yneSAAmQAAkkKwGKDclaM8wXCZAACZAACZAACZAACZAACZAACSSEgLzx2To736J++3LcmT9BZXg3euJsFFZuwcpUERtwHA17V+G23BtNypWH0spFuP3MVzEyEkQawNll2LF3KrqfIBjIM7YXG8T7vLD2OS8N27FgcD5KaiNqS7DSNeVPSEPmR0iABEiABBqZAMWGRq4Afp4ESIAESIAESIAESIAESIAESIAEGpeAvPFZKp/H67Hz5S3YUjUHJRXiNkDoL6cU5RN7omXLbsjL7aSL6ZDENxtC2T9evxPVqxdjQkkFFLN6oBBli4ejd6++oZP8R1FXNRe3DJmj3O4IFD6FzY+MRlZzcQVCnrGc2BDJlAvWcciLuOGxphwPFM8P3WwRsbRNXE5JNSImIgESIAESSEUCFBtSsdaYZxIgARIgARIgARIgARIgARIgARIgARIgARIgARIgARJIIgIUG5KoMpgVEiABEiABEiABEiABEiABEiABEiABEiABEiABEiABEkhFAhQbUrHWmGcSIAESIAESIAESIAESIAESIAESIAESIAESIAESIAESSCICFBuSqDKYFRIgARIgARIgARIgARIgARIgARIgARIgARIgARIgARJIRQIUG1Kx1phnEiABEiABEiABEiABEiABEiABEiABEiABEiABEiABEkgiAhQbkqgymBUSIAESIAESIAESIAESIAESIAESIAESIAESIAESIAESSEUCFBtSsdaYZxIgARIgARIgARIgARIgARIgARIgARIgARIgARIgARJIIgIUG5KoMpgVEiABEiABEiABEiABEiABEiABEiABEiABEiABEiABEkhFAhQbUrHWmGcSIAESIAESIAESIAESIAESIAESIAESIAESIAESIAESSCICFBuSqDKYFRIgARIgARIgARIgARIgARIgARIgARIgARIgARIgARJIRQIUG1Kx1phnEiABEiABEiABEiABEiABEiABEiABEiABEiABEiABEkgiAhQbkqgymBUSIAESIAESIAESIAESIAESIAESIAESIAESIAESIAESSEUCFBtSsdaYZxIgARIgARIgARIgARIgARIgARIgARIgARIgARIgARJIIgIUG5KoMpgVEiABEiABEiABEiABEiABEiABEiABEiABEiABEiABEkhFAhQbUrHWmGcSIAESIAESIAESIAESIAESIAESIAESIAESIAESIAESSCICFBuSqDKYFRIgARIgARIgARIgARIgARIgARIgARIgARIgARIgARJIRQIUG1Kx1phnEiABEiABEiABEiABEiABEiABEiABEiABEiABEiABEkgiAhQbkqgymBUSIAESIAESIAESIAESIAESIAESIAESIAESIAESIAESSEUCFBtSsdb+P3vvH1vVdeZ7f9XbqaKrTIY3N7fqSdSbTjIlVl9PO1O7oPxQakxwggoJr92CShKT2mKIxM8i28BAbpIbGIPtlwAhmqTITkxCMjC15QAVFIpNq0kiEtzR7cu817hqptyKnE7fthcx1mguk7Fe7X1+rbXP3ns9+4eP9znn6z9hnbXX+qy19n7W813redhmEiABEiABEiABEiABEiABEiABEiABEiABEiABEiABEkgQAYoNCRoMNoUESIAESIAESIAESIAESIAESIAESIAESIAESIAESIAEypEAxYZyHDW2mQRIgARIgARIgARIgARIgARIgARIgARIgARIgARIgAQSRIBiQ4IGg00hARIgARIgARIgARIgARIgARIgARIgARIgARIgARIggXIkQLGhHEeNbSYBEiABEiABEiABEiABEiABEiABEiABEiABEiABEiCBBBGg2JCgwWBTSIAESIAESIAESIAESIAESIAESIAESIAESIAESIAESKAcCVBsKMdRY5tJgARIgARIgARIgARIgARIgARIgARIgARIgARIgARIIEEEKDYkaDDYFBIgARIgARIgARIgARIggTAEfoXhVQvQcvgXANZg6OODaE592lGRpEyYZ/M3JEAC5UdgCuN9S1HfeR5AA3ovnkBH3c3l1w22mARKSoDrpqS4+TASKFMCFSI2fIL08Drc3vKqcBjuRuvQGAabP6+U99l8TF/B8OolaBm4ZJdPtQ3hw0PNuONT/o+bvjqM1V9rwUDa7Tdxt9m/LanWXhx47C78wZ33YmldCoamCzmWWbH0MFbd3oLDQZvdOoSPB5uRCvC76ckBLL7nNFZcPoy2uTcZJkoa4yfex5V/t4r9DhdeehZD3ziBiY46OLfIAZpQKDo9gYHFS3B0xUmcaqvxGPvrmBwdw6Vrv7Gf33M+rTyqFq2929C8YEGIuWPVewrHB3ei83Bm/SDVit4D38GjjzyIuTcLZuLUJEbPXMK1axfwUnsPrO1A/s+uawUW3P8Q6lKfEeC5gfT4j/D+lasu/WxCV/9qzP/Cl9HUOBfcaghwxlxkOj2OE+//FO855mAc7y/RmpzOrsXfucy1hi70r78PX6hdgMa5twTseQzrwOeJor7Fuo6Uxlj1nj6OwQ2dOJx9bdjjtepRPCJaR9OYmvwJzlz6La5dOIT2njNaT+26mhfg/qV1SAleF74DM/UB+pYuQ6f1fru7FxcnOlAXy0s24HRg8YQSyMzF08dfw4bOw8hMZ+v7twOrHl0cYt1Lupn7Jv0rgOnMGhhaFGFuzuy7RtKjaGWmcX10B2oWdmf4p7bh3MRONN4iXfwSIUFSJlov+GsSqCwC2ffUP/6/eEf51hf6mLWf53wK/6Hs9pl0msY+V4vswhQaup7HpuVLQuwjvVoXZtyUd3+IvX3snMq6wjD8w3ZY5jPL7BXr8eUmoX8hbHMS8zvVlvFvVBz76MR0mw0pKwIUG/LD5b/5UIUDa/PZNnQSh5rv9HbaqwJFai2GPtyL5jtUZ6jsxVmYTSaBRD7vUq17Mbi9HYsCO8zkz0hkyZKJDdmxXXerYZOsfqh1Ynf3XoxPbLD7/Vf43LnT2NN4m8vQeLdDL2wZiwfx6jPLRCLBdPpd7N/6NDbnRAbnk1Ot2DuyGxvn+Yhfn4yjr6YendYhRd+/JnQN7cczzTW+IsEn432oqe+EqbpU6+sYfflJ1EjEEFPT+P8CAtcxObwba1q6dTGp6JdhT51J1qR0HdSitf9tvNxWKxKkYlkHvgQFfYt5HWWacwPpDw5h67J1eZGheIkfxMju1ZjnIwRK1yQatmHo1a1oDv3duobxvidQ3/mDTDMpNgjWZRUVmU7jg/1bsWxzTmRw9r0WrXtfwe6N90cXvbJVe879kHNz5t81pZgPv8XolkewsGc8+7A6dHnaLm7tkQgJkjKl6CufQQJJJ2CJDEexr2OL4xCSf7tj3cPMOKJSOk1nvDOz/oDp9FnsWLkK3dqhtVyzgtnP/p0JM24UG+KbIGH4h316QJ9Zqg39oy+irSbowbCw7Zut38nFBrWFVesHnK1hqvLnVqDY4OaUl4yyafNxA1eHN+NrLS9nT1u5CQi556hlvYQJ9cU5U23OOoSsk9zO0yhV8yKWjH1xmYK4JBCWin6e2Sw/gR5M7GmE96euFGJD9pTgE8CbnqcDrXZsxLFbF2P+nNtQq50IsDYaJ3HkwLP5mwmimz1TlzCw9ttot4QG6/bB4HY8vci6LWCdHD2LV3Z1ZOozzUPLSbrsGG5tm485c2r1GwfWKfSRIziwLnei2jxWn4y/jHVj/wea7rrd3M+uc4bxCze3+CsngeuYGPguGtsHkIYlaO3EM+3fVE4RqyffT+H3y/eHuOIuWZNTGH/xBYx9fj7uutU014QOsLjWge+kEfQt5nVkncCemngDaxufsoUG3XC9jsmz/di1anP2//yFu0/GX8SyYzejbf5nMcdxa8S66TJy5ADW5U6Zuwr3khXl+H5bPwnp0JU8jWXKjYD6DrJuMvRh+9OLMqL61CTOvrILq+w5GKejBIhVbCjJu6YE43p9FFtqFqJHuVwpsjnyTTPZ8lZBSZkS9JWPIIFEE1Dfi1ZDPW4527cmf4ZfKjcTKTYkemBnrnH2TfpGtJ+xQzoUHL5TExh+YSNa7Jur30K/5Na/sZVhnN0UG4xYxQXC8BdX7iho8JnZ76Af44fqrfiGvbh4YiPqKvrQoMSW8biVZvK/hB0q/o4EHAQoNgTZoDjDKXk4I/3DJ+UeWCqxQRnx6asY3dGGhd3ZMBWhHTcVvo6UcQ62yc1ysTfLXcCbXjcJPPgpNy/iM9QFjkjJcKrhR/AN9F58Ex11czx+qZwg9ppjqmMkkkEwjanx/VhavzlzIj5SXQDUfgYO3yAByTI6AXX84nXkac8Juya1SvS5ljKKUSVaBzPQN+M6UtaJ+ztSFSNSaOgdwYmOeaKbIMUrRL2REK4u/WZi9gkUG/gysgno7yD3W6uq0830/QuLVdk0Bp6bJXrXhO2a+Hf/ismBVtzT/reOXwRxTkk235Iy4kazIAlUIAHnATvhSeGs0+/8tXr817Y/jycU7IzTLaXTNIbOqA79hIUCKgjoKTT1j+qhe/NCssv/hcISZtwoNoRC7fqjMPzDPl3mM9NtfeGhsLBNCvU71cbxyikVpOKAtgz9gEHgsmxMBCg25EFKFqzDsenqdFWugPs682UvTv9xlrTZUUPI/BMxzbcyqEYd4yAb3FzXJDcJPDDMhNgQiyMy45BR4yj7iSGFj72fY1Di4JFOFzXsQtgwO7lnldJ4kvavgsupm6amflw+1Ya50tDcYiwR1qTzGWo4IoNDsDTrIMa+QbqOVCeEn+NV4ACVjqF62jmoI1YTj/8GI4vHMP9br/Jmg5R9pZdTbSI/sdoosEUFFV5sKM27Jmr/BL9XvwcNa9H1X36MHjsMYxDnlMQulpQRtJdFSKBCCWTyQLUjczRtpgTWpMArM7tftUMTJTYY/BpKu+M5UBdm3Cg2xLfqwvAP+3Spz0wPwxjPPAvbZrffqcxmQWyw3Tnh8tDGSYF1VRcBig358ZZuPhxxn7XNaRAHqvTF6TchpW3W60i+8juLizDvUEDI07jZD92v/zJwUmnELjbkBILf4+DHB9GcipYJVdt8eBq4qmpvEGticzSrzwwbksxNbIjDEJjFuZz4R6sC1kyeQImwJv3EBt9NXqnWQYx9g3AdBVi3hXdGEGehy8RVn4kg61IRRmzxvwf3XtiM21soNiT+9VCiBsrnaIA1HartYcWGAO0KsHZDdSHij/Sx+BGOfuFNfCmXKFosRkvsYkmZiJ3hz0mgbAmoDrtwtwnLq+uldJrGQCaxYoMeGlC//av6R+Ky98OMG8WGGGZgtoow/MM+Xeoz03M7UGxw500/YNh5yN+FIUCxIbDY4Ai1YsUYz4WICHTyTfrijF9sAHTBxBwOJMzUKsffKJv2sOF47M38EhxdcVK/PirBEbvYkO3P0UdiOTGuxZf2crSqzgzjCWR1QxPmFombQBBRbEi4M0YyjcqnjDr+QRzIAXsYZU06HiV2TJZqHcTYN0DdOHivI1V0NBry6o0EsbPQZXy1BNfyuVKce+cO/NPwOooNAZdQ5RZXHfWmW3GqOBpRPHMFGlJsKNW7ZsYngcut4D/8OyV/g9RBJRESJGVmvMN8AAkkk4D63Y4z3K6yx0FuD+HIvea0Kay8TSfev4J/++gdbMjlbrKpWfm9nsem5UuwtC4F04VYu55Tx7CvvScTcjX7+/UPfx1Njbfjct9S1Hda/+P+HSjsfwx7DMk+zurzifdx5d8+wjsbcjnnslOhoQv9m5Zj8dI6pJyd0uwgj6njte+ynzmGseHufP49oAld/euxfHET6lKfiWcuanNnG87lcgWqIWrD7q+LWhjG2W0QG9zmqJ1r8Cc4ffy1why0chEe3IDHl7mMk7OdbuyVcf7Pf9+HmvpO/MJOJXYREx11evixMl438Uwqqxapz0wPxei1R7HfB++OYVhbf5l3SuadYOWYNPxZIeNOH8egcw3bP3PuU7xzdBaeYrJB3doT1pYJ4gfM5Hx4d+yo4x1svT/W4OEHHlJyLPozy7zPf4r31NwauXfx/C86cmmaBoD/Xy4EKDbkRyrIgnULp/QSFoytR33nDwCRcSZ9cfpNpSBtVuvRQ+IwUWaGTbSk0Nk67KvHp7EiTPIriZEa5M0SqyNSGEZJNTSN13vVNSB1JLgBkIZ/McErRVxuUxuq6P9LJOxknOMh16Q6HEHyjJRoHcTWN7ufknWkvgckwp7yjYqSAyVMGCVlvAp5JZR3jlEMraK1WLVdDSh4Kt/o+A9phBQbSvSumfEpovSjwDbIhjjXQoldLCkz4z3mA0gggQQc+8MohwScvXM6TV+ei1Nrv412O1Ra5k9zDqrlPUmZcn3dQHq0GysXPpcVGZwVWQ7GnXgS/Wjvea8EYoP67vEe/lTr6xh9+UnUqMltQ4oN0+l3sX/r09iscNaenGrF3pHd2DjPLNqYJ6zq7LUOY76Gvq9exbEXdqDnfBpoeA7n3tqGxljEjRKIDa/di1/t34plmw8j7dJ5U15HI/uG53B6PbC25Tm52FBG68Y8X6QlpD4z1aZz26M4k967Pz/VehAju1djnus8VXPSebU/6WKD0A+o7nv93sF7X8HujfcXC6T531zH5PBurGnp9ngPZwsa/UbS+cJySSJAsSE/GgE3H46YZ4VBlZ54k744/aZLwDarVWlGnPykaJImb7xtUT5QoY3riDcJYhYbYnVEavPdWxhQTz2bnTHxnBTVrgOGcWjap07exX9/7xDae84AsRre8c7SiqrN7bRONrngD9VTD9YJogPfwaOPPIi56sZLBCPimrRESMdJDH8jNNOo0qyD6H1TEcrWkbqRlAiEcdxe0hNVmt8rVq8UJ6W2uaXYIFo21VJIFTwl3464buq48g0nNpTmXTPTE8I7pJ4WvlEyRpDYxZIyM91n1k8CSSQgOxkcquWqzbfyOfTe9H10nvoqege34+lFLieJ0+9gy77fYP78z2JO7QLl9Ox1TJ7tx65Vm3HY8gB7HvBzHAy0bEnlWZZtN3LkANZpNyZm+mbDrzC85RCuzf8zzJlTq5ygtk7Pn8UruzqyNw9q0TZ0Eoea7yy+tREkjJIacaF1Lwa3t2PR3FvsPHza80SHJGWjruf7ULwjvg5cWd16qZkWG/4aQ396Ei2dV9Da+zw2PL4kcwNES7LrYwertzlQi9bePmx/elF2H3Mdk6PfR39OhMl2zHizoczWTZhRdf+NzGemhwdyRkxwHF5o7cXBDY9jWe5m1NQkzr6yC6ty7wMvYUyzG/V3irm/CcjZkGukyQ9YNH+VNeB8f1i3E7YN4q2di1wEB0f4eftG1Ra0L2/IroXMzaEzl36OCxc+i017HkPKDJIlyogAxYb8YAXffOgvtWxF4uuBelw5/znjJQYEb3P+OdoJiSghbMpotns2VTVIIyRCi3qTIFaxIU5HpG6w+53kUEMtGUOsWBcjxw3XR43TS/2I+RjnWj0e1xn9ri8b28ECQQnoTrIz+LD9n3FgzbrM6Se3v1Qb+kdfRFuNtVES/oVZk66nx4Jd2Q86r4OWt3sfpm+e2KTrKOjmLmh5lwaqBq9oQ+z3PqfYIFw51VEsQMJ3G0jQ8oEohhMbgr47gpYP1IWwhbXE0Htx8cRG1OWEZS1fi+Qwj8QulpQJ2xn+jgTKmYDpZHCEvjlvKkQ65S44+KA5Ba2cTXvRfIczXJDl6BrBC3nbc6bFBn9+IvFYLDYodp2HUFvwY0TPzTGd/gBv7HsGT1mHttQ/h8gTYQY5fhrGvgwQRsl+WhO2nRvAzsY7NNHHPE7OGx4jONExrzg0j+PkuFFssJpURusmvrEWiA0aS+d8dvgx3G4O2Y01H24Sh9N17XyCxAZfP6C+J2ymXUm7AAAgAElEQVTtfxsvt9UWz1/jQVS3SDBvoqNuTnxTgzUlnkAFig0m5nE67vWXEiA56ZlrX5LEhjBx4kycy+j/FYPUdCXSt1e2If1X+Ny509jTeFtwALGKDRmDat3nvoeJPY0I4J4tavd0+ix2rFyFbssJ7OvsE4ZaUp4QzfGhX4+Wj51f7ETr9Imq3gcfRv5CRkAd+9TKViwYO4y37ulC/zPtWJ6Ll2ndOnljHzqeysbZDSo4hFmTflfVRXFaS7QOwvTNdWiCrCNJqCX1IWE2g8rvtRNkQjExL06gkE8pXyXFBtnqrJJSQcNzJU5sKNG7Zoang//mPWhYF4mQICkzw51m9SSQSALq2pCESgzQCU1siHCwK/tI/zwK+s3pfG5FowNwdsUGTdD2CikiFRvy3zc/kTaOW/3OsDLWyeUn8J9/3JO9peE11lEdr2HsyyBiQ4TbJV65K1zmn3EfXMbrJsDbwVDUR2xwuRFfHIZM3bsY3j3aAYfiw7iF8ZIcfnB2K+qcd9YXwZbR9rqO9546fw2HqLWbTM7IIJoYEV3QjG8+saZSEqDYkKcdZsE6rwYBcoenQKU1zoQwbc5baeirqUenlZEI1XyzQRWMonDIGrZPAG/mEmIZx89RIE6xwf5QdAFvhhQ+sk3ThQbTyfJSOj4cDlLPUwqSQbCus47hZz8dVpIfuZ9mkdTGMjICWsJx6yeeBk0QZ7j67BjWpFWdbchexE/fURLr+Z4sKsU6iKlvCLqOSig2OIQGz5M12nRTwyc5Tkjb5Sg2yFZnlZSi2FCcjLLkQ6+eAPWwwdRxMtqrErtYUqbkIPhAEkgAgRKJDTHE5vYXG4LYKmandawJov1GWSIkSMrAOzSd/vjozk81ykMhzOinMTW+H0vrN2ditLva98qzRSHy/By30kOTAcQGv5DKvmOg7wFMoT8DiQ1ltm7ie6FJD+g6w1VlWxAoBKZqk7gIrpo90oSuof14prnGnFDabkr09aYzjWDLeN5sCBjiWhNnHAe6A9lu8c0W1pQsAhUoNoQ9iRF0wTqvBuUGVnpaY5bFBu0FUL05GzQjqetchFsAGcP2CfSEryM2sSEeR2QwoSEz/41Gk+P9F7R85udBHaTSl67jdI4oZIu0bpZzEtDFBtNJkysYXr0ELQNWIkGpKBjDmtQarScWm91wYnH0Lcw6Mm/KvTey0s2gFSLqKkZ3tGFht3Ud35QAMvdESTg8ig18EykEgt5UCFo+EOwqDaOkJoZuG8KHh5pxx6ec4FTHoel0nMSWl5QJNHgsTAIVQiB8GKVMfqsr+HeLhJaPIIvGLU9XBGq+AoCfA6zomWa7pvzEBr8b3F7Qpba1+ntlvhTtmdQDmW7v7ai3KszjVtzTAGKDn2PfV2wwOKuD7oPLeN1EWN5OSkgPr8PtLa+6Vplq7cWBx76EP773oUxeDcefOeyV/gN/34QzqoklpnWhf/1iPNBkyi2YILHB0w8oCFGn4fJeh9o+/+5eXJzoQN2n45sVrKk8CFBsyI9TwM2HGke6YTN6511CZy5OoShvwyyLDerHq2pfAKohJBWJPBZ2HDcJYhMbojoiHU73hm0YenUrmu2kYv5/wT7oAdVz+9Gqw9eKo38Qrz6zLETiYK9+mOM1mhjw/2UEtKuXxndQUOPHmirx3O7RemOMT5kpPePrIHLfwq6joOMQIkG0FndVfmqoII7+J+/EirzZIFuc1VKKCaJxqq2mOAFpycZfevpWf6fC9xSsxJaXlCkZBD6IBBJEQHdSS3Kv5RqvOZbcHLVhnab27dJLuHbtAl5qz4bU1Ii5HDIMJAybndbxiw2ZG9WXrv0GF1561j1XWaQwSmHEhgAHQnL8VbHY7cCelmTWeWO88B42nf53XyDmcSv+XSnEhmDtMh66K+N1E9+LLZrPzMjY0VDjuwzXMTm8G2taujM3d/J/zuTHTgIJEhs8/YDB5q9+W0N/F5s5xjdDWFNyCVBsyI9NkM2H6pDMOqnvmUTf0mXotJObmk5eWQ+N9uLMNDtIm9VJGOyKX3Knb7SWaQ5BzxN1kmfkeP4eBz8+iOZUSNk2LrHBNv7+Ar8+OIbB5s9LOqCU0YWGwpXY4pMCrhWrSrnxuqe6BiT5TlQHaS1a976C3RvvR6roFGTALjuLqx9gv2u0ER9T9T8PFMJEfWdJbq/FtCaLBkmdsz7xOmd0HUTtW5R1FHQclG+U5Jq8KjSkWrF3ZDc2zksJnKHSK9Yeq874rqr61VqhAFQxTHDDU/k2hHOO+GEMd7MhI6ouRI9lehrncdBv7kwPu8o/yLP87AWJXSwpE6Q9LEsClUIgaI6UQr+NjqWgTlNnzi5PxOUkNtxAevwo9nVscRcY1D7GJjZI9lch569x3+qIAqHefsh/u8K2L6hT1OE3iSKI+d5sCNYuoyO8jNdNyFnl8rNoPjMjY8cTje+ybHn7NtepY9jnFEE9Q+0mRWzw8wMGm78UG+Kb5ZVaE8WG/MjKNx+F0DuqqBA043q0F2em2fI26xNY3eCF/ciX+5KIk0H2tO/RR3D5VBvmhnV+G402GfOMiHIaKy4fRtvcm2Q/yn04rw5j9ddaMGDlgg6TB0E9KWo8rR7k1LMq8EnDqgTqurpjKuQzMfYh5DP4MyDQqWL5CdgM2pjWpJvJO96HmvpOWOluPE/9zdg6iNq36OtIFWmNpx6DxElVb40ETQSuifchFpfRSRuiTv6kDAioN3VMpzrD3MQLgiCk2DCj75og7Q9eVrvdFvDn3mKPxC6WlAnYIBYngQohoK9LeWgdo4MukNPUkRPRDlPydXxFCZPie9sgkTcbnH4C6xT0atz3lfuxtC57qEKSj0FSJmcDt/+tfQCyqX90Rm6xyexBPQRpJn/Denzxg/+KmoXdSEsOoriurWDhiuwqlO+l6zdEOkcTKzYka93E90qM5jPT3mkCez+oOAFLGB05ggPrOnHYOvhhrTrXQ6xJERv8fGBB15W3OBEsgkF8s4U1JYsAxYb8eAg3H6pDxBkuSQuxYUoWHe3FmWm2sM2OOafmKfBOypqsiRp3a7QXYGhDJ9sq23hZgqMrTkYz5mIRGyI4WbXQYM/h3Fvb0OgS+9B/LATJHnMVqE4S3xsEqoGeQsO2Qby1c1H8Nxpy7Qp04j7umVlN9QWYK5ozWbD5jWtNFg2HNPlzgL6J10HU901M6yhAewvvWdNmV90gzWRydsUoppBYTS8bz77K52iANR2KbEixQXMqGd6NAdZuqC4E+lEInqJkgxK7WFImUGdYmAQqiECQHCmFbscpNmg3zz0OPiUxZ4Ov8107YNOG/tEX0VbjCE8rERIkZbQE0QBm6pa29Ca40z/Suhnf/p9vY+95v7CXpiUV4gBA/hviYZPGIjYE8+8YHdvSNjlDuCZg3ZhGUP7/wZgW1Rvk4JNmU0lu0heepuW6dM0vmAyxwd8PGHBdMUG0fBpXaUmKDYHEBpfwSXVztKmjLWDUymJHI9jLrPDAEBsm7YPv175KXhF60qqoJz6i3CTQKMchNoR1smrzIlr+CvebP875pDo+/edhacUxhhgr5cpXHX0NvSM40TEPN7s2IFgiudjWZFFb5Dei4l4HeY0u5M2l+NaR+TuYaavynvVNtq7WJwlBGGWGUmyIQq8if+t3gETtsCLG+yWHD88orNhg5VPP3Uj0Wz/yb274PgT4ZSjhQ3eCuttuErtYUiZAX1iUBCqKQPEJ/G3nBrCz8Q7fkIbxiQ2ycG/+eRRUp57hBr+2/3G/4WZ0CFvjr+Wbcrn5KgnDJxES1DJ+IoImzkbb13lOb83RaNjLpc9ix8pV6LbDTWf+Qt2gVxsTyIksuCEtdewbxkmet03PE+h6W1jaJu1QlvecL+W6ie+1GFFsgGo7GNaCNqcFh9u0Tppuy6rvpaB1u9EMYctI/IDqujLkodUO7xa9j8IJ1/HNG9aUBAIUG/KjYF6wqrPG+wq3I0u9p5Ml6ovTari5zdokm76K0R1tWNh9JpNXYqZPiCdhhru1QXQ6Ttr4CDcJnI+IQWwI52R1ONgj5a+wOiVwMqpGue+HTP1Qzbw4pp9KmCHjXDq1qqKcxAAM6iSLcU1qY3AD6dFurFz4XCYhmMEAi3cd5BoStm8xryOj41XN/WIQENT3sa8oEceCoNgQB8XKqkPyflHDQPh9FxxJOQXX9Qssw4sNM/OumclRDnhyLt8USTx5iV0sKTOT/WfdJJB0Ao5wLGhC19B+PNNc43EgBIhPbFDXuZfdb36HiPLyafti27BD78UT6KhzHHsxCQUOocGqqchxrCZT9tpnSZzn4hCkDn+EZxz5KHPR8U72DYHpKIs4wjjrtm1r/9t4ua3WfY5KDhZIHfsmUUgbo7UY+nAvmu9w5j4sTjIcTWxI4LpROYU+WGvNz6g+M11A9Ra59DUTPDeXKQ+YKkbEMf8D2jJiP6D6/vcJXa0JF+790Q9hz+TN9SjvMf52JglQbJCKDVo8aa8PR7Yy53XBrnOY2NMI/bJk1BenXGywE9i8/1O899Kz+YRUkU8TzOSsnOG6440hl3nRr/vc91zGOGBHIosN2Tm17lacm9iJxluEySPU8EmxGH+OEz6pVvQObsfTi+biZkxjavIsXtnVgc7Dl6xYY+5XiW10zsRi24L1qwi/5QjaiGO3Lsb8ObehtulBzL05y6go3mIVi3EBp23U4rrA04Su11/ApifnZcJkaeMiHZOQa9Iyipcdw61t8zFnTi2aGq35mvmz3qEjRw5gXedhZM5kCQ0mR8LjcOtAJRymb3Gvo+zanHgDaxufsuOTplr3YnB7OxbNtb5y1zF5th+7Vm3O/t/rGH35SdTk1po2YXSHRnDDPujso9gQlFh1lHckTe/tw/anF2W+D1OTOPvKLqyy174pX9BsiQ1xfXNLNdrKhjxoGEvt1KHb5lay+ZaUKRULPocEEkpgOo0P9m/Fss05u8f61vfiwGP1+LJqP9t2/U9w+vhr2JCzkaIk37VsLiV/HFKt2DuyGxvnWXkNXJ5l4XM9/KHfYm/o2oO+TStQZ4eHvY7J0e+j/4Ud6MFT6J33Y3T2vOctNmj7etX+U+q53IyhkfvwzvzHcdhNbHCcKG7d+wp2b7w/Y+tOTWL09HEMbijEfAe8hG3VYZmC3i/HXHKKKVbui03LsXhpXSEUrfXsMz/DLy/8A+Zs2o7m1KcDTkgXYap/PZYvbsqyztjQrol0Yzhg4owo0dq7A6seXYxG2x61/qyk3Cdx5MCzmX2nJ1cAcYkNzv1rQxde79uEJ+3cHNYcPo9j/XvQ3vMH2Nn7J3itc793Hjhpm5K4bhIjNljzQM8dYr3LDm54HMty+VI0W896FbiFk7b8LFuw9aM6PHbX7bofwfF7r/2M5oPS5kXAZWcXl9kyofyAmoBai9be57Hh8SXZNe3w5fgeYHYc1LOE6/4taF/eUPDB2O+gi/jpmf+FBQfXoi7oKygMOv6mZAQoNuRR+y1YPalm29BJHGq+0/c6qf7xczMYVLFBOt5rMPTxQcUQUNssrcPhzJP+rGLKqUYaENm5ZZ9C6QLePI09jbdFoxRZbMhs4J9ATzDhQzVkhD0wJoa1HbTvYv/Wp7HZNu5c/rQNhFuBMGvEL8mnwxHk2ddaaJsAIRMWC09AFxxcJ4v8JlbYNakZxT59Mc5b/bfR14FSX6i+xb2Ocu25gfQHh7B12bp8QjQntVTrQYzsXo15nrlfQnzDIuVaoNgQfpVW+C9dHGt6jyXfhVkUG2L55pZojNUTvq6HcfzaYbLhJJtvSZkSseBjSCDRBCxH7VHs69iSP6wmam5EscHpGCx6ZsM2DL26BnceX4v6zh/k/7tob+Jy40Cry3YorscfHWlBfad1Z9VrD6He1nQhYLdnK5r/8EdYdXuLu9hgOZmVQxrFtVi3R17Epjt/iJX1mzM3aK0/N5tHOySm1ORW1vhty/3e6WMQjXS2UPEpffdfW07LLnz9/3sT7T1WlIUYQinZzvsRvLBmnXmOmux3qWPfdLPB7pnTyeokkhGtnvujt/Gl+s5YxIbErZtEiQ0Wf0eyco8p7r13ke2n/A/0OsW5XCP8/BdeazHEHspy9quH+vyWuen9af9WYhub94ue77ogryGWTSQBig35YfHefGjhk8QhZvQNUfGpC9kLS581YcUG6+O+rViFTeSUnOlGSWL+StuQvbL4BPBmkJsEXtVHFRtCOSIdJzmEXZeIDZmqrFM/p3B8cGf2RIltWaL3wHfw6CPKzQLX54ZZI6aPtdWeMVy69htcUG762I+3Tvysvw9fqF2gnIgRAmGx6ASsWwwnxjA23F2YK5YR07sNzQsWYGnu9InvkyKuSft0xSVcu3YBL7X3FDZ71qmNruexfv4X9ZMs4l5HWQe5h4Tt20ysI6XjLify7NOPqx7FI8rtEHdUIQxlig3iWceCQQm4nZq13kHOk5Je9c6u2BD9mxuUV5jyqm0cLlShfurZeeNRIiRIyoTpG39DApVKIGs7//7neEc7fZ/tr23XP4a7PvUfMMfLhpY6cvMInSfSszcrmhfg/tzJ/KkJDL+wES2249rj5pltW57EsX2F2/36PuRfMN631CA2WI1y+T449zOCfVzRTVm7jhVYcP9DhVsXw7uxpqXbtkE9HZeW7XWsHy8otqpfPiH7dPO7YxjWxi9n237We9wCTGm3E9SF/dXX8ZV7M33UD2TGITjk9ptj+NlPhws3bPLT0+1GjkvHpHNUJDZ4zBl7X1M4Je6fQyHAbYskrpvEiQ0ZSL5r4eGvazfbi2eJ9V76Ed6/ctXhR8iuJePvc3M1e7Mql8Mk1C0f6R4qih8w0993x4461pV1Q2ENHn7gIbnPxN5j/xg/1PwvUdoW4OXEorNGoELEhlnjxwdXNYGQNwlmhFlYR+SMNIaVksAsEUjSmowbQSX3LW5WrI8ESIAESIAESIAESIAEkkpAkLQ6qU0Xtyt3COOf0XUuhigQ4ueyIAmQQBIIUGxIwiiwDeVJwL5J8Bf49cExDDZ/fpb7kL2x8eu/xMeDzUjNcmv4eBKYFQKJWpMxE6jkvsWMitWRAAmQAAmQAAmQAAmQQHIJqCF1voX+y4fRNvem5DY3VMtyp++/WqH9CwWFPyKBqiFAsaFqhpodjZtAJsnPaaxIgnFgJ01cgqMrTuJUW41vPpG4ObA+EkgKgUStyZihVHLfYkbF6kiABEiABEiABEiABEggoQT0HB5+IbAS2gFBs6YxNb4fS+t7gd4RnOiYh5sFv2IREiCByiFAsaFyxpI9KSmBbNzho4/g8qk2zP1USR9e9DA6ImeXP5+eBALJWpPxEqnkvsVLirWRAAmQAAmQAAmQAAmQwKwRSA+jfetHWPzYF3GrM4+JM9dZqg39oy+ireaWWWvujDzYytnw5weA5zfg8WV1SM2yr2RG+shKSYAEfAlQbOAEIQESIAESIAESIAESIAESIAESIAESIAESIIEIBAqJnw2VpFqxd2Q3Ns5LMSpBBN78KQmQQDIJUGxI5riwVSRAAiRAAiRAAiRAAiRAAiRAAiRAAiRAAmVD4AbS4z/C+1eu4sJLz6LnfFppeQoNXc9j/X1fxb1LeeK/bIaUDSUBEghMgGJDYGT8AQmQAAmQAAmQAAmQAAmQAAmQAAmQAAmQAAmQAAmQAAmQgEqAYgPnAwmQAAmQAAmQAAmQAAmQAAmQAAmQAAmQAAmQAAmQAAmQQCQCFBsi4eOPSYAESIAESIAESIAESIAESIAESIAESIAESIAESIAESIAEKDZwDpAACZAACZAACZAACZAACZAACZAACZAACZAACZAACZAACUQiQLEhEj7+mARIgARIgARIgARIgARIgARIgARIgARIgARIgARIgARIgGID5wAJkAAJkAAJkAAJkAAJkAAJkAAJkAAJkAAJkAAJkAAJkEAkAhQbIuHjj0mABEiABEiABEiABEiABEiABEiABEiABEiABEiABEiABCg2cA6QAAmQAAmQAAmQAAmQAAmQAAmQAAmQAAmQAAmQAAmQAAlEIkCxIRI+/pgESIAESIAESIAESIAESIAESIAESIAESIAESIAESIAESIBiA+cACZAACZAACZAACZAACZAACZAACZAACZAACZAACZAACZBAJAIUGyLh449JgARIgARIgARIgARIgARIgARIgARIgARIgARIgARIgAQoNnAOkAAJkAAJkAAJkAAJkAAJkAAJkAAJkAAJkAAJkAAJkAAJRCJAsSESPv6YBEiABEiABEiABEiABEiABEiABEiABEiABEiABEiABEiAYgPnAAmQAAmQAAmQAAmQAAmQAAmQAAmQQAUTmMJ431LUd54H0IDeiyfQUXdzBfeXXSOB6iXwyXgfauo78QsAd/dexERHHT5dvTjYcxIoOQGKDSVHzgeSAAmQAAmQAAmQAAmQAAmQAAmQQBIJXMfk6I/wdz98Fe09Z5QGNqGrfzXmz7kNtU0PYu7Nn0pi433aRLFh5gbsVxhetQAthy3XbrQ/Ooaj8eOvMwRiExvSw1h1ewsO+4FNtaL3QDO++uUFaJx7S/UMgYSNiIYq/n6C9PA63N7yqiUToXVoDIPNnxfVwkLJIkCxIVnjwdaQAAmQAAmQAAmQAAmQAAmQAAmQQOkJTF3CwNpvo/3wJf9n392LixMdqCuro8IUG2ZuQlFsmDm2rDkMgZKKDfkG1qK1/2283FaLqrgzRbEhzNSsmt9QbKiaoWZHSYAESIAESIAESIAESIAESIAESMCFwPQVDK9egpYBS2hIoaFrD/o2rUBd6jOZwtNpjJ94H1f+/Xe4MDCF5SPfpdjAiSQj8Mk4+mrq0ZmJaVOGQpWsmyyVHAIzIja0DuHjwWak8t10uwX2DfRefBMddXOSA2OWWhJuDHizYZaGK/bHUmyIHSkrJAESIAESIAESIAESIAESIAESIIFyITCN66M7ULOwG2lLaOgdwYmOeYFP505PDmDxPe04k8jwF+V3syHZPAPMbYoNAWCxaBwEwjm6XZ6snt4vEhuy5TWhFkh1ncPEnkbMXkClf8XkQCvuaf9bAGsw9PFBNKdKfw0ttjGIY0KwjpIToNhQcuR8IAmQAAmQAAmQAAmQAAmQAAmQAAkkhUA8jviCcymJsbbj6WMpRyzZPAOQoNgQABaLxkEgNke3RGyAKtYm4faO+q6j2BDHfGIdwQlQbAjOjL8gARIgARIgARIgARIgARIgARIggQohoMbcV5N1Butesp3jFBuCjWaMpSk2xAiTVUkIlFZsAKCKErMeKoxig2SOsMzMEqDYMLN8WTsJkAAJkAAJkAAJkAAJkAAJkAAJJJjAbzG65REs7BnP5GsIGEZJdex5dfLu3ouY6KhDJpiH1Bmmxu82iyDT6XGcOHUM+9p7cN5+jpV74nmsf/jraGq8HZf7lqK+0/ofYV3vjmF4QycOp7O9auhC/6blWLy0DqlPefTU9ST0NKYmf4LTx1/Dhs7DsKtLtaL34AY8vqy4ruA8c22xYsifwvHBnegsSvI9i7dNoooNdr6QMYwNdyv9akJX/3osX9xUyCtSNCSqiFY44V08T6y6tqB9eQPm3pwb2BtIj5/BqWMvob3nTKZm4/i7x5svfp41/L04sOpRPNI41z9c2dQkRk8fx6A6D/P9LNGp9Vy+ln/7CO8422Fk4nDE50MRBVsTRUNrt+kkju17Fj3nswvUasv6xXig6UHcdXkvauo7kUkTor57Ar6GRTcbgELIM5ebDTPBz6pz5AgOrMu8nzJ9vAf/Pf+O8+qn+d0XkJBn8XCCjyRnQ6nXdaGL9loO812IC2oZ1UOxoYwGi00lARIgARIgARIgARIgARIgARIggXgJOMKAoBate1/B7o33ezvVlQYEd47HLTbcQHq0GysXPpcVGZx0LNFhJ55EP9p73jOIDTeQ/uAQti5bVxAZHNWlWg9iZPdqzMslz1b/3+mcfO1e/Gr/VizbnBUZnHW1DeHDQ824QxEvgvO09JtLGFj7bbQXiQy5B5an2DCdfhf7tz6NzV79SrVi78hubJyXQrH+43RK7sW9/6PXc56kWl/H6MtPouY//hM+8BwzPzHO6Sg9h5e/dB5rG5/ymEspNGwbxFs7F7mss2lMTbzh81trXEshNqgMvd86eXZ5sUYpG8OaUJ88nT6LHStXoTsnMjib1bANf/Pk/8b29r0lEhsc708tt8MM8Ht5Lk451np1iw0zva6tCRbxuxDvB7ssaqPYUBbDxEaSAAmQAAmQAAmQAAmQAAmQAAmQwAwRcCQ5tZ6Sat2Lwe3tWDRXlupUHkYpTrFhGlPj+7G0fnNGaLBuDAxux9OLMifGrZOoI0cOYF3uRoGNz+t0r1pXLVp7+7D96UXZ0+7XMXm2H7tWbbYdxykXkcCuWnOs/jWG/vQkWjqvoLX3eWx4fEnmFP70VYzuaMPCbuvEfB26zp3GnsbbigZWzlNNCOts9wzNlyDVhr3ZMPUB+pYuQ+f5tGMuWqfiz+KVXR2Zmw6ptRj6cC+a7/iMo1Wqo7cN/UNfxBstB4CunXim/ZtotOb11ASGX9iIFvv2QgpN/cN4EYfwUPsHWKSMme7g/hb6Lx9G29ybHM/TxYaV3d/BTQd24NSiXhzc8DiW1VmCiKPtXjeJpicwsLgR7WesyabP6SDoo5f9FYa3HMK1+X+GOXNq0ZS/ieHsRy3ahk7iUPOdxaJPjGsCypyAJYqqa9Rx2j/X9xm/2aC9O605NIpTbTVZDjHzW/kcem/6PjpPfVV7z+njLH2/Rp8dfjWU5mZDKdZ1DN+FmUWdyNopNiRyWNgoEiABEiABEiABEiABEiABEiABEighAc3xmnuudStgD/o2rfAJV5MpK3eOS51hgjBKmlPWy+lsOUZH8MKaddmQKx5ig+rc7jqHiT2N0GWWG7g6vBlfa3kZaXwDvRffREfdHH2AVMeq/T9N2PQOP5QAACAASURBVHZuADsb79CcsGrYlZTrswLwVBk09ePyqTbM9QrzVMLplH9UKLHhGsb7nkB95w+A1Dacm9iJxlv0Tk1fHcbqr7VgIO1128B5qrwWrf1v4+W2Wi10kRYCx3PM1NPrXrdE1PlqVeT+PPsRqtPcRSwptMnpvJ6NAfR+pmQeawJcpDWhi2qe4objPTazYsN1TAx8F43tA5nwaA17cfHERtS53fBwwRiKX8NzOPfWNjS63azKTC6M58MpleL2i/v8KI3Y4L3OYlvXcXwXkrVsS9Iaig0lwcyHkAAJkAAJkAAJkAAJkAAJkAAJkEDSCVzH5PBurGnpdoQkakLX6y9g05PzPEMrlV5sUB3AplwTpgTRal1eJ9cBXB/FlpqF6El7OIE1scHntLfqgNfCrhTmh5inWleliA0mzjYmJdeIa79VscFnfqj84D1mZuepKjaY5qPqOC+eS4VnJVtsgGAe62JDhDWRnxNmp755rITvYc+cDVZ+lB/h7374aiGnR6oN/aMvoq1GdhPMbkFgfh4ip9adahIbZnpdx/RdEE63SipGsaGSRpN9IQESIAESIAESIAESIAESIAESIIGIBNzDD1kRXbzzFYid4+KTt6abDWpia1PiU5PYoNTlcZJe5BxUnZN+jn+Bk1HO05Hgu+sgXn1mmZLsOOJkiPrzwDcbVAefd5gp8wlu90SyRd0RjEXGL9xnSDosSW7rJiYBRbdbVMc6mtA1tB/PNNf4J5OOOk5hfi9hF8ua0PMimG4rmMdK2Nmim0ruvwsaci5fS1B+HsKk3qpqEht8bm5I2BrXdUzfBeF0q6RiFBsqaTTZFxIgARIgARIgARIgARIgARIgARKIhYAzLnu2Uo9QIXLnuNQZZhAb1PBBxmS5BrFBO90uhOcmJniehHbUKXCEyXlaaSByIYVyz2lCV/8aPPzAQ5ncBLP5F1hsUMdK2nC32yjJFhv0/B5D+HiwGal8d9WQXbl114X+9YvxQNODyRSSvBzhsawJ9SaIOdl5ScQGK5fGgcfwxT++F0vtfBwh/gTvAf954vbMMO9XadvN7HM1hRsDiWBXwnUd13dBireCylFsqKDBZFdIgARIgARIgARIgARIgARIgARIIF4CxaGV3PIMyJ3jYZxhLjcXAjmxZ0BsuLsXFyc6UPdphXYsjtVMfXKeVmlnXopcm6ycG0pC5Hgnhqy2QONkVRlGbHC72VJCp2RmxJAeXofbW14FIHDKGueKT0iz/i1oX95QQtHBChs0hkvXfoMLLz2bzX3iGP4ZFRtMN5P0toRzdLtMZ+MYyZYAUAJ++aaEeb9K+yGY19mqwo2BZA2VcF2HERvcvgtSvBVUjmJDBQ0mu0ICJEACJEACJEACJEACJEACJEAC8RO4gfRoN1YufC6Ty8El1JDcOR7GGVZCscEvjJIJrNQ5KTjRLOepNGo6jfETJ3Fsn9Mh7J6o2tSdWP4/ktjgF0bJ1LoSOiXtpkgcpUqbhXPFCml24tQx7Gvv0fOoGBMFm/hI/v8G0uNHsa9ji7vAoFZBscEFaAn55Z8ufb9Kxj98mYoTG6J8F8JjLNtfUmwo26Fjw0mABEiABEiABEiABEiABEiABEigRAS0sEXFYWvkznGpM8wQRimQE9twMtrQNzFhoQNZkhhWztOtdZaT8ySOHHgWnYcvZQqk1mLow71ovuMz4u7EUjDQOFlP9E+eLG9TssWG6ckBLL6nHWesoek6h4k9jfANeGUJSSNHcGBdJw6ns0PaNoQPDzXjjlAxfEwkpzE1vh9L6zdnRQ4rNNdq3PeV+wthgwSimTgMkG9d5XizocT8KDboE1oyN005G+L6LpiWWgX+P8WGChxUdokESIAESIAESIAESIAESIAESIAE4iWgOm9LITaoTmeXmw1x5myAnmS5qX8Up9pqgsdhT4zYkB356asY3dGGhd22Sxuh+xVlIgUWG/RkwPBLtO3briSLDWofg43LdPosdqxche7zluLglqsiymApv1XXV6oN/aMvoq3GIYdIHLqxrIkE5GwQJWeeRX4UG+IXG+L6LsS0JMupGooN5TRabCsJkAAJkAAJkAAJkAAJkAAJkAAJzAYBzfm4DecmdqLxlsKR6sJJfJPzVHJKeRpTE29gbeNT2VPcbjH51XoM4Xamr2B49RK0DFin/N3qcji4PZJgG7HH4ljNPEXO079V6gn6u3svYqKjDmqaCWOfohYILDYAuD6KLTUL0WOf4P8Gei++iY66OQFbkmSxQRW3ggoGBhEuICXP4spc9rx5UTKxQV0PppsgenLtSHNeup7dIJaan6vYEHRuxTV59PGSj4EkFFkp13VM34X4sJZNTRQbymao2FASIAESIAESIAESIAESIAESIAESiJnAJ3+Pgf/29/jCE99E41yvQC56zgY356M8LIzqUHITCZxCg9VfN4EA0J7pFVJGO93vXRc0QSKFhm2DeGvnIqSChKiROicFTlo5T7/5oDrLPJK7aklQ5QlgxbMwjNgA3WGMUPkJSumUtGio8xpItR7EyO7VmJdyhq3Sw+ukAodCUoWKNRj6+CCaU7p8pMbLB9zLGMdPEXw826iKQl43UOJaE5rY6RUSzJFbxkrVHUVgk7bdDWap+eXboIpRUXKeGGeIb4GKyNlg9TCO70I0lGX5a4oNZTlsbDQJkAAJkAAJkAAJkAAJkAAJkAAJxEBAcQanWntx4LEv4Y/vfQh1OSfp1CRGj/XjhVyCWi/HrxbWqAldr7+ATU/Oc3XWT18dxuqvtWDAOrmu1qc863Lb32Bk8Rjmf+tVT7EBuIbxvidQ3/kDO0xQQ9ce9G1akW37dUyOfh/9L+xAD55C77wfo7PnPZ+6AD1EjVXf89i0fEkhRj2mMTX5E5y59HNcuPBZbNrzGFLqEEidkwKxAVKe6WG0b/0Iix/7Im6tXaAIRtcxebYfu1ZtztwO8UpwmkixwXLyqSGgrGHrQv+m5Vi8tK4wp6z5cuZn+OWFf8CcTdsdTvfZFRsy08LKc7AF7csbMPdmS7Vyjomb09wSLbZg60d1eOyu21Hb9GD2twCmJnH2lV1Y1XkY9pB65HqIRWzQnKy1aN37CnZvvD/D3uJ++jgGNxTyR3jeQIltTThyIDR04fW+TXiyLoVP2evyPI7170F7zx9gZ++f4LXO/fjFbIoNpeanvIdUodJaNwVOMXwvhFVUjNhgvYq00GUhvgtCZpVUjGJDJY0m+0ICJEACJEACJEACJEACJEACJEACQQhozmb/H3qf1rZ+50yIWqir+HTxdUwMfBeN7QO201T/s5w5B/HqM0vwh2c24PYWP7HBcnxewsDab6M9lwjZWZ0tZqzHHx1pQX3neV+xwe5F+l3s3/o0NnvVl6vfLYZ7bI7VADzVZ3oNn1fMfat8UsWGzGDgg/1bsWxzxrnu/ed2en82xYa7sbL3GdT/P33e88hzTPQbEp5D2vo6Rl9+EjW2iKH/xSI2WOtZC2XmfEoTuoZexKY7f4iV+STStncfFyc6UJe7bBHrmvB7b1jta8K2cwN47o/expfqO2dXbCg1P214VBFW/Q/3G2JBPhfSspUkNkT+LkihVVA5ig0VNJjsCgmQAAmQAAmQAAmQAAmQAAmQAAkEJjCdxviJ93Hl33+HCy89ix47+WzuzzqdvRr3feV+5YS/1xPUE8ZWUmLrrxZtQydxqPlOR8Jl6+bBKRwf3InOrGPfvlmx6lE80jgXN2thaQxOMrv9J3Fsn9L2VCt6D3wHjz5inQz/F4z3LRWJDZk230B6/Ed4d+woNmRPkWf+PcNi/pzb9BPnORyxOlatSmU8p9PjOPH+P+J3Fw6hvSfHPXsbYP1iPKCejncOXZLFhmxb7f69O4Zh7SR95oTx+vmfxRztRkeug7MrNrQOjWFw2acxfmIMY8Pd+TkObV56xejKzL/3r1x1rMdsnx/+OprsNeL+F4/YkKnbYj9y5ADW5daB3f4VWHB/7vbTdUwO78aalm5YUl7KKYLEviYsNmdw6thLylyvRWvvDqx6dLF9syeco9uFpbTtPi/ckvEraoNysyv3Pk95hZ8K/MUw/iDcGCQtZ4OzmyG/C0ZalVeAYkPljSl7RAIkQAIkQAIkQAIkQAIkQAIkQAIkQAJCArlk2/+MrnOnsafxNuHvWKxAQOIoLSGvnIj0L8XJ3EvYCj6KBEigCglQbKjCQWeXSYAESIAESIAESIAESIAESIAESIAESCBDIHcL4Kvov3wYbXNvIpjABBImNuRO5Xslbg7cP/6ABEiABGQEKDbIOLEUCZAACZAACZAACZAACZAACZAACZAACVQYgVyujV6gdwQnOuZ5huepsI7H3J0kiQ25mP1A78U30VE3J+a+sjoSIAES8CZAsYGzgwRIgARIgARIgARIgARIgARIgARIgASqkYAVbufPDwDPb8Djy+qQ8kojUI1sAvU5OWKDFS8/M6SPY1ldypErJVCnWJgESIAEAhOg2BAYGX9AAiRAAiRAAiRAAiRAAiRAAiRAAiRAAiRAAjkCyREbOCYkQAIkMJsEKDbMJn0+mwRIgARIgARIgARIgARIgARIgARIgARIoMwJUGwo8wFk80mABGIiQLEhJpCshgRIgARIgARIgARIgARIgARIgARIgARIgARIgARIgASqlQDFhmodefabBEiABEiABEiABEiABEiABEiABEiABEiABEiABEiABGIiQLEhJpCshgRIgARIgARIgARIgARIgARIgARIgARIgARIgARIgASqlQDFhmodefabBEiABEiABEiABEiABEiABEiABEiABEiABEiABEiABGIiQLEhJpCshgRIgARIgARIgARIgARIgARIgARIgARIgARIgARIgASqlQDFhmodefabBEiABEiABEiABEiABEiABEiABEiABEiABEiABEiABGIiQLEhJpCshgRIgARIgARIgARIgARIgARIgARIgARIgARIgARIgASqlQDFhmodefabBEiABEiABEiABEiABEiABEiABEiABEiABEiABEiABGIiQLEhJpCshgRIgARIgARIgARIgARIgARIgARIgARIgARIgARIgASqlQDFhmodefabBEiABEiABEiABEiABEiABEiABEiABEiABEiABEiABGIiQLEhJpCshgRIgARIgARIgARIgARIgARIgARIgARIgARIgARIgASqlQDFhmodefabBEiABEiABEiABEiABEiABEiABEiABEiABEiABEiABGIiQLEhJpCshgRIgARIgARIgARIgARIgARIgARIgARIgARIgARIgASqlQDFhmodefabBEiABEiABEiABEiABEiABEiABEiABEiABEiABEiABGIiQLEhJpCshgRIgARIgARIgARIgARIgARIgARIgARIgARIgARIgASqlQDFhmodefabBEiABEiABEiABEiABEiABEiABEiABEiABEiABEiABGIiQLEhJpCshgRIgARIgARIgARIgARIgARIgARIgARIgARIgARIgASqlQDFhmodefabBEiABEiABEiABEiABEiABEiABEiABEiABEiABEiABGIiQLEhJpCshgRIgARIgARIgARIgARIgARIgARIgARIgARIgARIgASqlQDFhmodefabBEiABEiABEiABEiABEiABEiABEiABEiABEiABEiABGIiQLEhJpCshgRIgARIgAS8CfwKw6sWoOXwLwCswdDHB9Gc+jSBlROBT8bRV1OPTmsI7+7FxYkO1M3iEH4y3oea+k5kmnMREx11mMXmlNNIsq0kQAIkQAIkQAIkQAJxE0iYrRx392a8PvKbccR8QOkIVIjY8AnSw+twe8urvuRSrb048Fg9vtz0IObe/ClHWdUR5FFNqhW9B5rx1S8vQOPcWwKO0nVMjo7h0i/fw0vtPTiv/rqhC/3r78MXav3rnZ4cwOJ72nEGQKrrHCb2NELeimlcH92BmoXdSONb6L98GG1zbwrYhzIvnh7GqttbcDhoN1qH8PFgM1IBfpcZq9NYIeE8ncb4ifdx5d+tB/wOF156FkPfOBGf42h6AgOLl+DoipM41VYD58zPdCs7P6/9xn5+z/m00ttatPZuQ/OCBVhal/L4vRccq95TOD64E52HL2UK2evoO3j0Ebd16FLP1CRGz1zCtWsXiteOXdcKLLj/IdSlPhNghNyKXsN43xOo7/wBgAb0XjyBjrqbI9bJn3sTmMJ431LUd1pvQylv5T0dYl3O3Gio36C70To0hsHmz/t8Y2ZCbPgtRrc8goU945llFvgbMXN0KqbmhG0AKDZUzMxiR0iABEggIQQqyTZLCFI2gwSqiUDCbOWyQ2/kJ9lzBuk1D8MFocWywQhUldiQR5NqQ//oi2irUV31ArEhX0EtWvvfxstttTC7Im8gPX4U+zq2OBy4bgOVQkPXHvRtWuHuOLWdxo1oP5MGUttwbmInGm9xdx0X1644opr6cflUG+ZKfxpsTiW3dMnEhuxHYN2thjFSDXodW6ynVO1+/xU+d+409jTe5jI+3u3QC1vz8yBefWaZi1hXXO10+l3s3/o0NudEBmeRVCv2juzGxnk+Aob6wfWdWU3oGtqPZ5prBGvSraJpTI3vx9L6zVkhUOr8Tu50T37LKmlDKzH8ZtiYuz6KLTUL0ZPTCQN/I5I/Y2a9hcYNQGlbSLGhtLz5NBIgARKofAKVZJtV/mixhySQOAIJs5UTx8fUICM/yZ7T9BD1/2d4fxqkKSxbcQQqUGxwOVVqn4z+MX6onthu2IuLJzaiLn/DwW+hWYLBj/Du2FFs6DyMjC+nDl2eztvcPLmOiYHvorF9IPubJnT1r8fyxU2KmGDVfQanjr2E9h7rzoJ1JNVNDLH+418xOdCKe9r/1iqEpv5Rn5Pqjrmad0QF/F3FTXlZh6avDmP111owkK5F29BJHGq+M8CJ/oyw8wR6DLdPSiE2ZG+0PAG86SlOWe3YiGO3Lsb8ObehVrv5Y83Pkzhy4Nn8zYRU2xA+PNSMO/zEqqlLGFj7bbRbQoN1+2BwO55eNBc3YxpTk2fxyq6OTH2ecz07TtYHd9kx3No2H3Pm1KKp0aoj+2fdCBk5ggPrOnHYXpRhxipTV2G8c5VTbJCtlCilKmlDKzH8ZtKYU2+u5cYk/HqIMqoV/VvjBqC0vafYUFrefBoJkAAJVD6BSrLNKn+02EMSSByBhNnKieNjapCRn2TPaXqI+v8zuT8N0g6WrUQC1SE25HyTeQey9Q9OsUCy0G7g6vBmfK3l5Yx44HtDwFG24Tmce2sbGj1DvdxAerQbKxc+lzlZnVqLoQ/3ovkOPTSM5hQV31BgCKVAi3f6CoZXL0HLwCWIHOvOym1hpwt40+smgUdrlJsX8d1skAofBkJTH6Bv6TJ02uGVvoHei2+io26Ox4+UcEQe8xiqGFEk/AUZLceNhDB1KeNdeDLFhiCjEK5s0je0qrgbR9gjyTcmHEmot97UKsTfiJDPrbafGTcApQVCsaG0vPk0EiABEqh8Akm3zSp/BNjDCARUezhR4VYj9KncfpowW7nc8CEWfnHvYcuOIhucEAJVJTYAekxr3aErdASpoSp8EkRqooCXw7VoEugChbujW+2DMPeC+uGl88mw9FTntZCvVqPkJkEJxYawwkdRE/WT035iSGHup9DQO4ITHfNcQhupnKOewFbXRFCRQFlz1joduQ/vzH8ch8U5BBLyJi/LZiR9Q6u2L9liQyGfTwoNm7+N//L23uxtnzDvsLKcTKVpdCwbgPiaSrEhPpasiQRIgARIwCKQdNuMo0QCPgRUO41iw+xMlYTZyrMDIcJTY+EX9x42Qn/406omUGVig55IOpTYIHoBqM7PgGGLtBOqbifIVaevrG7VERUo9FI1Lo38CX74OMr9wGTH/td/GTipNGK/2ZCbK7/HwY8Pojn16UgjqiYoh6cBpyrpBkdnbCKY+kyv5LzuXS8Kl3XvOL5jJxEPKlpEQlulP076hjZuQ00oaAeeDc4193/jC/3/VzZRtOwbEfiR1foD0fe/dHAoNpSONZ9EAiRAAtVBIOm2WXWMAnsZkgDFhpDgYvxZwmzlGHtWmqpi4Rf3HrY0XedTKo9AlYkNqlMGCCU2qDcbvG4JqGUCJ+nUT5Cnus4Vx/0PVL/S58BtqbwJ798jhVWYcDxW5bYDfQmOrjgpz6eRa1TsYkO2P0cfiSUhuOrY8hQbVAHB5+ZPpsshbum4DqD6QQ0gNriFy/onK5k2xYbSrPyZ2NB6xbG8jsnRUzg+uLOQe6S1Fwc3PI5ldc4E5ZKE6U4xShI/c4bEBuV7kLkNtwx/eH4HahZ2Z8L9id777m2bTo/jxKlj2Nfek02cbuUd2oL25Q1KkniXvEMNXejftByLl9Yh5ZfbxXplWs94dwzDG3K5VwCIfu/B08rRdPo4BvP11aK193lseHyJkivJa4a79AVWn9fg4QceQuNdP0dfTT06fwHLgMDFiQ7UeWq4brmeUmjoeh6bli/B0qJ559ImKy/NiZM4tu9Z9Ngh7LJs1i/GA00P4q7Le1FT34lMcy5ioqMO0STl0qx8PoUESIAESCCpBGbCNrM3SJia/AlOH39NyX+oMBCcQg9vL0hZR2ij/b1+H1f+7SO8o9ozue+2r03kYUMW2QCWDbETz7R/E41zb8l3yt1Wc+aI9GBgP2MMY8PdefsYtt0j/L0vWjc7bVrPBVhkS2Vsp/evXMNH76htsh7k0y7VQevVJk+7Laq9VrzHKDQhwL7Uc4jGceL9K/i3j95xrB2JTZl0W1m2Nu05/v5P8Z6afxWZ/q+f/0VHvklHna5zXLen5+ZzuDrbE8e+0lln1L2G354zzB42yP7Uba3k1mZ2r6S8m4pGV/F1FXxJLu9dK9/nwQ14fJlpH5nktZftfdG+VKUSR+QE2RqarVJVJjaozk3ny1+y0CS3ChyJOgXGk+9CdHUUqf0wJKpWnL+uwsVszbwEPjdaUuhMhzKn/09jxeXDaJt7U7Bexi02RBE+ilouDKOkCmHGua9+LCUJ171whgmjpCRvV8Oc5ceANxuCTd4wpWdiQ1tsgL127//E/q1PY7OVkLzozy2EVxhDbbbEBnVdKmtIy7EiWVvO799e3Ps/egs5hBzcUq2vY/TlJ1HzH/8JH+zfimWbD2eEDe3PL4yaVfAG0h8cwtZl67Ihn4pHJ9V6ECO7V2Oea64jlzb/6jXv+kzhDKevYnRHGxZ2n/GYzE3o+ptvAtv/Aj0msWE67cPFqr4WrXtfwe6N93uKMdPps9ixchW6cyKDs1UN2/A3T/5vbG/fS7EhzOuHvyEBEiABEnAhMBO2mWJzezH33TNEtRckAx2ljao94v2svO1U5Nh0s10nvG2AVBv6R19EW81N/naU4eDcdPpdH/vYOqzSir0ju7FxnvNQjoSnVcZpp/0VvnSqE43tAwWbURMA9AgUnk/J978guGhx7r1+6CY2RLXX1ByErs+NKDaozllPILVo7X8bL7fVuoQtTrCtLJpG1zE5vBtrWrqzh548fuT6/pjG1MQbWNv4lOc+w67Nd57Hsa9U2hzLXmOWxAbjXBfsb5xiw2v34lee+0j45041tme2155k/lFsEL0GZr+QxNEDaHkU4AzxYhYbtM2/5wdcvT0RMoSFps67h6JRQ9r4iQiFchKH0+yP5Oy1QHFYh85rEfEmQcxiQyThwzkQWhJl77kknZeZ6iXinXlG6PlRtuHcxE403uJ3nFrNF9GEbecGsLPxDti/oNhgBh5biZnY0Dq+Bf3/DX/6Rgc6Ly/STkho73LPk/9BrqBKvkHmb0xwtMp7S+uHfovPLDSrbWtD/9AX8UbLAUA9QTc1geEXNqKlx3LGW9+2YbyIQ3io/QMsUm4O6E5yr1Bqes6W1t4+bH96Ufa2xHVMnu3HrlWb7c2Be+4i5yY21+ZtuKzdWLmB9Gh3XjTx5qAktbf3HXsxuL0di+zTOdYpnpM4cuBZ5dSf380GpS7rZM7gdjy9aG5mAzg1ibOv7MKqTkuc8clVo4lF1s0MhY91QmvkCA6sU26C8GZD8KXDX5AACZAACbgQiN820/YG2vdVMgBx2Avm50Rr468wvOUQrs3/M8yZU4umxuw3377NcRav7OrI2g9e330P2xVPov+Zdiy363M4XZu+h4svfgYHHnoKZxcpN3U1Z6aPH0KxM3Sbx9Fm00ENX7SqbbkS3b034UCnZTOqNp9agcVhF/Zd+z8xf85t+ml1zX7ysQ0DhVGKaq+ptrbDVjNPOVmJ9DvYsu83mD//s5hTu0C50aLbyvAcJzf7Pgm2sqT7um2eudmi3q7OnIg/c+nnuHDhs9i05zGk8tWq742MoKCflHfwg8MfkK8nzn1lXHsNyZ4zyB5WsD8t2peoN8ad77kUGrYN4q2di4oPVGliw19j6E9PoqXzin4DXXuHefmcymDtqdE+nPtByfSvkDLVc7NBU7/cTlx6LbTsi+zvTuGlXCgJN0U9PyH8bk9IZ43aFo8T1toE9nKwMoSSjLj6QXLLkyGrJVIIJc3RHUdIjIjCh9Zl/YPt7fwDgsYQD1q+eCTUD7cw0bRfXg6KDcLJHkex+De0gMupqIbncO6tbWjUTserRoqXIRPEUJMYfgJjLiBWLTG0Ixm7lmOlSFx3Psh5Ks/9lJRep1WHm3Guiogep0rUTa5bqEAoidvh9U52ttnDuBV8KzUngx2Kqhl3FOmVjo2+63V89V3pMa9U4db10IJuQLcNncSh5jszYqj6p4k/cXwzAk4+FicBEiABEqhAAnHbZgFyubnRjMVeMA1TxDYaqjcfxCq2XV1vQWh5Ha2Hetg9xlvmqpPd3YdQOMhluqXq13mnnebl0DWNT/b/BfacdsPB97ZMDPZabLkHhf0vKibZyyTRVpb01yEWeO4FPOpSneM+fjvzgcX49pXx7TUke84gJSjvZQAAIABJREFUe1jT/lT3tXjeopEcTC26qeP+TjC+M8tg7TFnbmZtVr7YYMXJOvNj/FCJ8eZ+jVFyBdKKDbcHfZtW+MR+VusJe31HUofAIWE00CQv+yooo4aa8nQ0CTjYL9C/wufOncaextsEP3AUifVmQ2YOrfvc94pzfgRsmX4KfC2GPtyL5js+41KLMNSS8stoYoPj1LJo7JQPppujj2JDwNkRpXjcG1qrLQ6j0OdEVmHueb2ngxhqEsPPZMwFZWnaHKvCt+mWndo2n42lduvOW9zzX9fqe8IniXx+s+zVdv2b7S2CmsZR5WQQm41J2yQ35Az9V50EhhAI0d6fQecby5MACZAACVQ+gbhtM7U+n2++K9i47AXTqEVpo6luyzQdL+R7cnWAO2xXz2+/HubT0+4x2SpG+8rqk8SeMfVdaFuaqsn/v8mek7DOVSbpn2H+qZxDR0UQd961oHkvk0RbWdBnzXEdVPDSIyc0OA5j6U83RSSJa18Z515DsucUrJU8CMP+NMC+RDuU5rYmNLHB55Co6Z1ZBmuvsDZNe3DBeijjIhUoNviNht8VN4HYIEoaLBEKTDNGVof/gvaI5W16dNX9v3qCNqgRrMLK8n4CeNMYxscDcpxig/1h6ALeDCl8ZJuoCw25GKFKjEytK6UUGxxCQy6GvGeCJ6uhghssFBtK+AaIe0NrNV01wPw/7mYDPYihJjH8YhYbjKc6HPmDfDdCwraZjL/s7PF3gnuFfnJMPeOz1Db7vbsN46ga0aakz+INPOAXusp77gV7h1JsKOHrio8iARIggaogELdt5rBFGrZh6NWtaPZLIprnHJe9YBq4KG001S1xgEtsSOs5QrvU11aR+geEz/LtvtC2FCDMFBG0yWg7Zh+m2H7h7DWrHv1QT0PXQbz6zLJsSFBxpyIVNO9lEmgrS3qs2ubG29nOCtVxMft2NH9akRgY074yzr2GtteN48Cc3zoNGPJau33lko9AFRv89qXGdVwGa0+bw03oGtqPZ5prXPKqSBZE+ZapCrEh1dqLA499CX9870PCGwnq4lCvDkmU1RKFUbLnnN/LVGigle/cjaXl6vU5c1xzv0dmeD+BnvA3CWITG2IQPizXvJqg1Dd0WIFLUOdX0PKZJ4URGiwb9QP0LV2GzvOA5ykHig2xrCtZJXFvaK2nSjdsasivOAw1yXPj3HSpxp/PyRDN0PE7tS9sm9H4y4y877rWbkfIZgpcDVJhmw2bU/9NhqN9BrFB7besZ05BTD1hZb4ZGe79KWsZS5EACZAACVQjgRmwzbRTyhZTK1LA81j/8NeV/AYurGOzFwTjGLaNgqqD3Wzw+/YLnO0ZI6xwk6LoEIV+O0LSfAR29uZqldppslbEKTZEt9cybdbzgVr/YuUVWIOHH3hIya8g7V/wcsHEBr9ktP5zK05bWdJLbXxMB4GcFUrCbam/8V0vkv2dc+9TvIbj5Sdpk/BdYTfdb51KQnWpMA3fD2eC6MFmJc+GUo9gv5n8taceaM72raEL/esX44GmB0sqSkrW3EyVqUCxwbxBd4fps9C0pCimmP6m61iCoRQkiM5+4nB9dAdqFnYjbSfsHMWptppMbGfRFUlBWyq6iCokmcbVACKOmwSxiQ1RhY9pTE28gbWNT9kJWhHgFJIxxp6GMaBabv/2OiYGvovG9gF7zotPkSjJhvxyTjBBdCkX/AxsaKtGbJCKydJE0cINocD4y+xz+1BT34lfuCUuDuM8cN1oCNtsEBsCOexjFxucuRaCrYlAbS/l0uazSIAESIAEypRAsO9QppPK99grTr4jz1AejuV8ySdBdiCLzV4QDkWYNmpVX8fk6BguXfsNLijhm7UixjBKSRQbPPJHGrFK7TRnRbnEv7/FtQuH0N5zxuVJHo7zEHaqsRvZAnf3XsRERx0+7djLTk2O4IU169Bz3to05/6sPepOPNP+zXhEBzss+CVcu3ahkENUa4fXvJGOgb9zOpC9aboFLACuiQ2+uTdcKgv6fO0945xXEsd+pg1+wk+8/CRtiktsCPo9UMu7zMkYxQY7YkWi1541Kxz5/vLT1ZnsXLAoyrQIxYb8wPlfIZoa34+l9Ztx3irvG07JcRUz6AvSUsknB7D4nnbYn9aUV/LnbMPVk6v505/CGJdlOmnjarYsUY/kaTnev8fBjw+iOaWbIZIa7DJxiQ32nPgL/PrgGAabPy9+fKagLjSkWg9iZPdqzNOS6/pUaUxKpv5W/Vh6JelVy6tCQy1a976C3RvvR6ooc6pL+4oSEgXB4ncSJEg9LKsTCGrAWL82bWglBpjZKMyUCGKoSZ4rNfgF80S7sSAonyvi+T0Rti3EJq5oc6bWYfq++XZN2OZZEhvC3ZQLtiYCbV4CTBMWJQESIAESqFYCwb5DGUom2yzH8gbS42dw6thLDgeyR6Lj2OyFIGMZsI121dZvjmJfxxaHw9nluYkSGyR7ryDsnGWldlrhd9PpD/DGvmfwlKvAoNYfn9gQzl5z9HU6jfETJ3Fs37OOORA1KXYa42/sQ8dTPRkflOcfxYY8GooNAfewfus06PeglGJDdsQTu/bU99o4Tpw6hn3tjnXc8BzOvbUNjVI/W5TX8Sz9lmJDHrzpg+iIDeaXbEZ1BAV2puhXbswfQLVdOaMBdkifhT3jcA8/MUuzLVGPdeMWIqmz3afs6eGjj+DyqTbMlTi/3VjEJDZkRJTTWHH5MNrm3hSIuhZWSpQHwWlsTWBgcSPaz6StI7u4ONGBOk/tJUhMRXVd1KK1/2283FYrj3tHsSHQPChN4WAhY+w2qcncu865hCyTOP0zvTNfPU6q2KDfVgg2Vl4bS9P3L/uUOMQGLZ6nOZaqd/+EbS6h2GBMjGYcrGBGPcUGI1AWIAESIAESCERgJmyz4gZMp8cxcuQA1nUeRuY8uEtIyNjshUAA8oVFbdTywVk/tU6srsZ9X7kfS+tSmWgDRttJarsK7VJfZ2sMERjEOKV2WrZCLZJENtTWfV/FvUvrsgfLBP03ss48K7q95gXBEp5O4siBZ9F5+FKmUGothj7ci+Y7PiMmlymoRmCwDrtaIVi+jq8oYcHNexnpGCTrZoM2PkZ/ggOrKW+AcxRKEEYpkL1uFEsk7wvBWslzkIZRkkSPKV0YpeLFlLS157LcLWFk5AgOrOvMRA+xXg9tQ/jwUDPuCOs/DPhWKXVxig2ihZb9MF0dxuqvtWDAnhx+YXd0YUILb2QaYe0FKQntoya9zSal3A7sqlmInnR1Zz/3Qx3o9ohozJbg6IqThTBWpt+4/X8sYkME4UM18kIrraoRa3AkGhPc5iCpc9zj9FMY3i6/KRgDYa8Mx9SQqqgmRBgtY3g4iQGWgWs20IMYapLnSg1+w+CL101h/RTC7Vn74H4XUVTYNuEmTpwg2hn+L9C8F7a5hDkbCuELrY6EEVKCOXkCbV4CsWVhEiABEiCB6iQwE7aZF0k9B1uxfRJhPx3b4BnaqMWHb0P/6Itoq7lFf7rRdpLYkFaVQrtUnCDayyaMC57UTrOep9o/XofKBP03ss72LVICYgEfJXyvlaMkkC8oW70WgcHjAKB5LyMdg2TlbIhmTwc5zOgQnnwTRPs72/3GonxzNgT8HpiEnljDKHmsw8SsPe/3hJYXNdR+UfAOSkgRig35gZC8jB2JPnzCKWlJS8SKtuNWg1Tp0gydtejdcBWd20ZCOjsSMjNntBl60u8wBoDavCg3CbRuxiE22HMhhPChJUaTiFw+L9C8KOeXUF0VEHwS3DqTb/mGMIs+aSg2RGcYqAbXMHBeNagGj9cJfemGLajYYHIcS54r+caY6RUM1gCbF+OmStg24SbO3wnuCDUYek0L22zanAcI06B9111PWgW4Aekx1Co7/5uNur3gHkvYPJ9YggRIgARIgAQ0ArHbZj581T1s0Xc1Lnsh4vj6tVHZu3l+s422k8SGjEtsUPM6WnVG2/P5k5XaaVYtSlnPqBABxQbXwzW5Fke310yzSnUwB7fRZKGGSyU2aLdzDFE7zLayiZz1/1HGR3eQN/hFI9FELrd9lXRtGvaVse41JG1S14ppD2tYp+r3wLBnM94YKoXY4Li5NHtrz2+eq+JqZR9wpdgQSGywZu8VDK9egpYB62qcnzPVKUyYYnI5Tk6IBQqrAx5hNXw/ssoC0BLjSK5IST4SCS5jdLwFaXuEmwTOx8QgNoQTPnRjPvp1LkXM8ZrHU5cwsPbbaLeumPp+uFRjw1+UCDJqXmUpNsRBMUgd+vj6hsdS372ec0ZigGXaZzbQ1feqKa6t5LlBNl1eDIOd1inUYjodKGybccPsZOtMgJxtkfM7um0Qb+1cJMu/EvSbbRIbHKfp2oZO4lDznZnQB8qffgrFznztGiZO22QhRKxex+EB96v3DnvBLRF3kGXIsiRAAiRAAiSQJxC3beaD1pTrLRZ7IeLQ+rVR+T/P/ZNRvJHYkFYfBM72jIGLvpp6dP7Cy1YJ6qMIy09oW9rVK3PO0wcisIE1G8o/72Vke80Xi7q3DuNbUX/vtf+VnDqXjoFpbuk3T6LaypIZFWl81GgNKY8bR84Dja4iinRtmvaVcfKTtCnIHtY0R9RDuj6hrLV3tce+uSRiQ1LWnt8sV99llZ0blGJDYMeFHrbI/0SAmtDWepAVx3E9li9uQl0+EYhLIqqGbRh6dSua5zquYfrMWU1JtMsFcMxWmdgQKQ5g0RhkXtDrPvc9l/jxkk+pUiay2JD9+Ky7FecmdqLxFmHwNy1GpsmpKuyTKiakWtE7uB1PL5qLm63YppNn8cqujkwsSx8DwE5WrSZmD5z/RNhWpRjFhuDMov5CNyZr0dq7A6seXYzG/PvPGYPR7xSWxADLtNgsNjiu1jZ04fW+TXgyF4NX67jkuSZjTkBS3dS65qzwrsM/dJywbXGJDZaBnz6LHStXofu8FZcwE5t30/IlhRjH9rviJzhz6ee4cOGz2LTnMaS07gnbLNmca+/AJnS9/gI2PTkvI35MTWL0WD9eaH8D2LkB817bhh7PDbzVQKcQ4Pbdv47J0TFc+uU4LsxZjT3Nn1d65njvafPOYnIex/r3oL3nD7Cz90/wWud+ZJpzERMddfBMkSOYXixCAiRAAiRAAhaB+GyzX2G4fRc+WtyEu26tRVOjtRewn6DvB+C9/4huL5jGNEIbNQdbLVr3voLdG+8v2A+nj2NwQyE+t7vfQGJDWn0wOYSz/TSKDfYAY3RHGxZ2n8n8yMoHsGk5FufzI2TtnzM/wy8v/APmbNqO5lRQC0Nqp2Vsp6vDm/G1lpftHB6p1oMY2b0a82x/iWUzncLxwZ2FPAieBz71nBQNXXvQt2mF4ndR50JEey09jPatH2HxY1/ErbULlH3LdUye7ceuVZszcdlD7l/1KBmt2DuyGxvnWXlAMvbx6eOvYUM+54k1hntx8cRG1N2s7v+lYyCYW7HayqY16WVPb0H78gbMzfXRstHPXMRPz/wvLDi4VskTOY2piTewtvGp7Bi0ovfgBjy+LJf/wzFGnoeDpGtTsK+MjZ+sTdq+z3cPK5gjql8H1l79eWx4fEl2XTnf5T4hr+MSGxK/9qwx2oKtH9XhsbtuR23Tg9qcPfvKLqzKrl1zfl7JWkluGYoN+bERLLR8WWfCHreXe66w5Sg7in0dW9BjO1X8/iyHi99H0ee3mrET8MNWVWKDfgsk8gK3nX9dwJunsacxbILp7LhGFhsyKukT6AkmfIRInixxbE2n38X+rU9jcy5BlnP6plTDyW1uqx9T6Us02lU0ig1SznGWs4yUEbywZp35HRlozoSPrVnoneNdn/8P5zyTGH5BvjFufCVhpPy+EUry9qJNvbBtMYoNtqvB9I7Idacohqr1H8I2izbnjk1JEcas4fzcrTjyJb/Tgsp3/4ND2LpsXT4BmPvIeM1R50EF568zNyae+6O38aX6TooNcb6OWBcJkAAJkEBWDIjDNlO/1V5gfU7LZn8SzV4wDWiUNprshyZ0Db2ITXf+ECvrN+N8rina7UiJDWn9UOAQtopJxIaMEYYP9m/Fss25JN1enMKevJXaadnnag7Nok0jGroO4tVNt+P4ymZ05n0qLvs+zamr1ON6I/UG0mHtNcn+2fdQnWleGmxB+3DqGtx5fC3qO3+Qr0zfo0vHQDK3THM9qK1s6r/1/8LxcR1bU3uzz/fdW0rXpkBssEQiVQAJvdeQtkm6hxXOEd/1meuMQ3B19jFGsWHV7S047DeFZnXtyXxYKY9cLJKVUS5lKDbkR0q40HLltQ+ZXzil3A9yJxnfw0vtPQVjw/pv6zTB+vvwBU0VDzqFHKFwgpx6rSqxwRROJAj3LPMngDeD3CTwekRUsSGs8CExlhxtlogNmZ+4nEaxbjoc+A4efURReV2ZyF7U+k8pNgSZwckqm3lH/uynw/pJHfuEUy8OPFaPL6snA4xzJg6xITeHv4/+F3YUxJCiK94Swy/gN8bZP/VqeKg8B45TY9o3Qti2mMWGTBctQf5HeHfsqGPcrRsBqzF/zm36iZDA32zJBipT6XR6HCdOHcM+5Rttz71Vj+IR6zSmdAOfa+N0GuMnxjA23K2cxst98+djzhz1lKdzwF1uPdqniQo3f5ggOllvMLaGBEiABCqPQAy2mf0tfB9XfnfBsQe2vvNr8PADDymnwv0IhrUXBKMSsY2W/TBy5ADW5U6a23udFVhw/0PZ07/XMTm8G2taum0fgO5kktiQVh+E9kxAW8W2fd4dw7B2AyNz43T9/M9iTmj/hNC2VIfHGoeRIziwLncbxLJ7tqF5wYLszVfHASUvh2L+VmrB5+IbJjikvWaze/8f8bsLh9Dek70lYvXH9u0sxgPGfYtpbjpvd2f3RM0LcH/uFsrUBIZf2IgW+/lO4U46BsK5NRO2sgmBPfWtGww/xg9felY5mJaZG0Unx4v2T362uGmMpGtTIjbEtdeQtynjhzHtYaVzxLRnE7zL4xIbcvMw0Wsv8716/8pVXNDmbfbd+vDXlZt+kkVQnmUqRGwoT/hsdbkTCHmTYEa6HbPwMSNtZKUkQAIkQAIkQAIkQAIkQAIkQAIkQAIkQAIkQAKVSoBiQ6WOLPs18wTsmwR/gV8fHMOgFnN75h9d/ITsjY1f/yU+Hmx2xDafjfbwmSRAAiRAAiRAAiRAAiRAAiRAAiRAAiRAAiRAAtVEgGJDNY02+xorgUzindNYcfkw2ubeFGvdgSuzQ6wswdEVJ3GqrQbC1NCBH8MfkAAJkAAJkAAJkAAJkAAJkAAJkAAJkAAJkAAJkIAbAYoNnBckEIpANtH00Udw+VQb5s6ydz9RwkconvwRCZAACZAACZAACZAACZAACZAACZAACZAACZBAOROg2FDOo8e2kwAJkAAJkAAJkAAJkAAJkAAJkAAJkAAJkAAJkAAJkEACCFBsSMAgsAkkQAIkQAIkQAIkQAIkQAIkQAIkQAIkQAIkQAIkQAIkUM4EKDaU8+ix7SRAAiRAAiRAAiRAAiRAAiRAAiRAAiRAAiRAAiRAAiSQAAIUGxIwCGwCCZAACZAACZAACZAACZAACZAACZAACZAACZAACZAACZQzAYoN5Tx6bDsJkAAJkAAJkAAJkAAJkAAJkAAJkAAJkAAJkAAJkAAJJIAAxYYEDAKbQAIkQAIkQAIkQAIkQAIkQAIkQAIkQAIkQAIkQAIkQALlTIBiQzmPHttOAiRAAiRAAiRAAiRAAiRAAiRAAiRAAiRAAiRAAiRAAgkgQLEhAYPAJpAACZAACZAACZAACZAACZAACZAACZAACZAACZAACZBAOROg2FDOo8e2kwAJkAAJkAAJkAAJkAAJkAAJkAAJkAAJkAAJkAAJkEACCFBsSMAgsAkkQAIkQAIkQAIkQAIkQAIkQAIkQAIkQAIkQAIkQAIkUM4EKDaU8+ix7SRAAiRAAiRAAiRAAiRAAiRAAiRAAiRAAiRAAiRAAiSQAAIUGxIwCGwCCZAACZAACZAACZAACZAACZAACZAACZAACZAACZAACZQzAYoN5Tx6bDsJkAAJkAAJkAAJkAAJkAAJkAAJkAAJkAAJkAAJkAAJJIAAxYYEDAKbQAIkQAIkQAIkQAIkQAIkQAIkQAIkQAIkQAIkQAIkQALlTIBiQzmPHttOAiRAAiRAAiRAAiRAAiRAAiRAAiRAAiRAAiRAAiRAAgkgQLEhAYPAJpAACZAACZAACZAACZAACZAACZBAeRD4BOnhdbi95VUAd6N1aAyDzZ8vj6azlaUl8Mk4+mrq0fkLa6r04uJEB+o+HaUJN5AeP4NTx15Ce88ZvaLWIXw82IxUlOpL+Nvp9DhOnDqGfe09OK89dw2GPj6I5lQkUCXsSYhHpYex6vYWHLZ+WmbjFqK3/ImRwBTG+5aivtNaCQ3ovXgCHXU3G3/FAsklQLEhuWPDlpEACZAACZAACZAACZAACZAACZBAwghQbCj5gJSrczZWseEG0qPdWLnwOYdzPjsaZeS0nk6fxY6Vq9B9Pu0ylbJiA45XrkO+XOdzyRd+tTxQIDZwzpTVZKDYUFbDxcaSAAmQAAmQAAmQAAmQAAmQAAmQwGwSoNhQcvrl6miLU2y4PootNQvRY/nnG57Dube2oTH1mZIPRfQH/hajWx7Bwp5xAE3Ydm4AOxvvwKecFZfrmEsAVXLfJP1nGQcBig2VNiUoNlTaiLI/JEACJEACJEACJEACJEACJEACJDBjBCg2zBhar4rL1Tkbm9gwjeujO1CzsBvpcg/dpYomfrcxynXMJYujkvsm6T/LUGyo8DlAsaHCB5jdIwESIAESIAESIAESIAESIAESIAETgenJASy+px1njM5cig0mlrPx//LxK2HrYhMb1DlX5jHdFUf73b0XMdFRhwrOzuA+2Sg2lHARlsOjBDcbyqEbbGOeAMUGTgYSIAESIAESIAESIAESIAESIAESqHICn4z3oaa+E7+g2FCWM0E+fiXsXmxiQ+U4IwvjZOXMptjABNElXI+JfVTlrO/EIi5xwyg2lBg4H0cCJEACJEACJEACJEACJEACJEACSSMgd1bzZkPSxs5qj3z8Sth6ig1FsCk2AODNhhIuwnJ4FMWGchilIG2k2BCEFsuSAAmQAAmQAAmQAAmQAAmQAAmQQAURUJ2fXt3ST2B7iQ3XMTl6CscHd6Lz8CW7qlRrLw5ueBzL6lLFCXAdD5tOj+PEu2MY3tCJw1YS4EwNaOh6Husf/jqaGufiZl/u05ia/AlOH38NGzoPI19F7jd+8fGzZVzb0NCF/k3LsXhpHVJFWXzDTQT7Oe//FO+99Cx6zudamu3r/C+itulBzL1ZeZiPczb4+Cltnk5j/MQYxoa782NmJS3u6l+P5YubUGdMwHwD6fEzOHXsJbT3nMlWbP1+DR5+4CE03vVz9NXUo/MXsI7x4+LE/9/e/cdWdd55Hv9oFFX9I8uyUbbSBVWtWo1j7boz0piA0lStMcUNG0iQPWXU0FxSWwyRIEAt28EKUZIJiB+23ECMliy6TkxCOmVqy8WpYE1saDVpBMEjTYeRjEfpNBORqx1NtSyyRiMUXa3Ovb72c849P+859vWPt//lnnOf5/U85yJ9P+d5njbVRtoz6FMN7livprPWDbz+vLZVstr2vj648jPHfDDaV7XC+7Zu5pbX0Dmd3FOYo+FXJpjPjPdX2u4XuiBf+tzNfsPXlR64ov7GL/v4FZw+/Ptf6fWW47o680nLaafWffVPXJ696Ws+uaPf/cKcO9bFIeZP6L65NDs3ob5N9WoZsZ6b7ytz66yaq77o0z/jQO6GjG5dbFaV4zku/7mfA4ey51gpQdn9ch0fl9/XVFpdvXu1fWvwb2O+LRfP67WZOWb+tq/Sre4tWtNuzT6P5zlwzpi/Fbs08FmvGlP3SVOTGrt0Qf0z/6/UKN31ivZu3xzy9835G2LM7//6DzF/38r7/2MxXEXYsBhGiTYigAACCCCAAAIIIIAAAgggMAcC0YvVpWHDm4/8i04ceFat0yGDvZk1ah54T2cav+IRONzVRN+PVd/SVxoQGDdKpXs1dHSn1roWwEPcwzdsuKfs9TM6sHWPEXTYe+H//WEH5q4mB49qV9MRo6jrcq2zrXMQNuSyH/iMWT4pUs/QUe1b6xEU5W5r7GCzNhwphgzOfjSo46//XHrhL3V8vsOGqZvq2/0DtbjOx2I7a5TuOa2j+x51D5Gc5qeqdNFxz4qHDYH9DAgbpiY0+Oo+Nc0ERW7z2HmPcMGJUs3KjP1EzdUugU5g4djvefoPTfal9VDL3+TDyIbMmC42V3uGmbnbg9r5cJP6sm6fjfPcz4FDrDlmmsXpl8vKkzcf0acnDmhrq0uIa41C84A+OtOo1a5h7D1lx47oqQ0ve/zmWaHDIT2tjFqO/ybBsKFHj3z6pvdvemq3Bj7qUePqL7hPtlxW1336bIVqnZd2asXu76uz7N+3sP9vLL7PETYsvjGjxQgggAACCCCAAAIIIIAAAggkKhB+Gx5H2JD5K33j7Ta139poe8s1l72sg0/t0BHrzf1Up0YnDql+hbMadUfj3T/UmvZf5vtSshJialKXTx/WjuJKhbqXNfpup+odgcPs4cjWPXrU/0KLNvq9tW6Ty2lq/IS2rGnVVVlvvXbrhWc3Tq8suKvJyxkd3tGaDyH8i2pBw2Hva+EN8OfVsq1u+rsKbw6P3PwnXbv2Je0/9qRSxVuGKM6GHz9JU9fVvWWr2q9mHV5WGy7r9OG2wkoHz4Kcc9xMc+tt7/d07uRLxmqJclc2FAEibLNi9E358TTfYnb0z1o509mvdw9tLA0cTPOnXlbXF3+u9ot/pq7+F/TsxqBVNt5zIfQ2SoFjbhbdnfM2aC7a50D+09YKnhdbtG1mBZG1YuKKbv5+XNdW7tSxmdUR1vN/WK/d+e9at/JB+yocx/Pq+bwE9i2g/Xcet6hhAAAgAElEQVTH9Hz1Bh23Fjd4rFYo3MEwKpnLcZ/7hB0Sm2Nx++UMG/6nBr7xnpraP7E/S7awsVYdo5d0rP5Bx8CZbSkEmObzY612GDp3UntsK9GSWNnQrMzAH+vtpk7dsq2uswcfqY5RTRyrV2kc5vf7Zv2GXNX5zDFjNVfc37cQz+si+whhwyIbMJqLAAIIIIAAAggggAACCCCAQNIC4YvVLm/0uoYAZjHUrRhlL0Sl0m9p7NTTqja3D8p38p5uD7bq4aZT+ZUPpQUi83vCbKvikDML767FJ/P7H1fXjXfUVrsyIr+j6KaI9wlRnA0/fkYhzSMEMt8Gr+sa0nDbWtsWVrZwx/OtZscqjrK2UYoaNphFwhqlMz/Vqeaa0u23cp9ocOdmNfVZ2315FEpN83wx3j3oijgRjLM1ArZhChpzczsh34K7WwsdwVddj24M71NtybMXtXeSzHZ5hYxBfQv8WmNrJK/xs+5htKXkd2Oun/uoDknNsST65Zz71lv8o306VL/atoLE9jvg9ttpM/BaSWAV74f06q4901vKJRE2WJgeQWKIcTH7Jc9nw7GaLtbvW+CEX3QfIGxYdENGgxFAAAEEEEAAAQQQQAABBBBIViB8sdoRNvhsR+F/T7NgGFB8992n3XzrPWrYkNPdsYOq3nBEWb/932fepA7etsV1VGzF7ZTcCvi+oxmiOBt6/EL1xW+f+wjjNt8HRJtvvAcU0G0FRbdiva3gGjEc8hnMxFY2mLYRw4bZMMlqaHJ9K3TbfB6NvfNNkxDz2f/XzXxu3QLIfNJgPNvOQGk+nvuIDomMQ0L9ss19n23wzDlYsk2d2Zag37wQK5cC54z9fBfvVWhB4xIyyLKmWGK/b8n+X74Q7kbYsBBGgTYggAACCCCAAAIIIIAAAgggUEGB0MVqmWGDf/Hd956ht0KxUMzVC8495O2FR9V1auCNA2oMtY2SUVjy3OrJUVQKcdB0yTCafQ11qK3jDoGFNqvu1a3qNe36WH779PsVYM3v9CnImX0Jeps3sWJciGKkrbgcIhSyBVguRfEQ5uU8romFDTKLota+971648Wt9oPFXRvoeF4iBhXBfQ4q5rqcCdDfOLtlWPAXFD5hbpfl+uwaPiXB03w89/PkYPNKqF/m3PebH75hgzk/vQ5xLzY+xPMd+DyaYYNf6BwwLubvm9//CYQNvk8qYUPYHzI+hwACCCCAAAIIIIAAAggggMASFQhXrM5XWJQd3KNVTW9YG1UrPXBF/TP7udtx/O4ZuAWHw9m3SGtbOWBdaBVfX9Fz3/uOGmb2oHcZOLNYFnZcyyjO2g7hDirQu7UjsNAWNmwwC21hO2wv3NlWBAQFL/MaNgRt2+Xsb0CBM4R5WEHzc8mFDZJ9hYL1LdY5ILv0vW99V/WeYZt9DoQ/5Dpsb+eryO4/3r4HQ8/Lcz9fDsa4JNWvsHPfL2wICvNs0ynpsMFjRU3+O/3HpTK/b2GfrcXzOcKGxTNWtBQBBBBAAAEEEEAAAQQQQACBORGY77AhdNF1ure2gr1bkXtqQoOv7lPT8RG7T8nBtzGLc2WEBYFtDxrREMW/cONXTthgfys50rjNa9gQomDpWeB0Cc1CmAcNm9u/h/YL9f3O/e6L32iFbYf0Ysufu4QOppN/WOjfv+KB5v+mO9fO2A/LnblwrrZRKnyB91ZYAee4lFOU93zuK+8ww51Uv0LNvYAVX5Ge/RDPbmCbzJUN5YcNoZ9PCz1SH8v5tVi81xA2LN6xo+UIIIAAAggggAACCCCAAAIIJCIQrlidr7AksrIhUlEnX9cpbhMkyfON+nvKjo/o4vnXHcVPj8NCzWJR0JYZMZTDtd3nCwILbeWsbPA4GDmgn5HGLbFiXIhipO2N5aBtW6xOBhTdQ5iXMyVC+0X5/lxW48Pv6fxrL00fsltsmdvBvvHDhlz2ut5+7UU94wz2SkDmNmyQbUWTsQLH72BoZ5E4xnO/YByK7kn9noWde34rGyI9+yGe78A2ETaU83s0V9cQNsyVLPdFAAEEEEAAAQQQQAABBBBAYJEIzHfYEGm7CkfYEGbrl1x2XEPnTmpP+1ll82PgctCp78HTyQ2cra9lrIxQYKEtbNhgvvEd4lwDF4LQxXJnUbecfs98f4hipO+5Hm5jufi3USrtlRW2vadzJ19S+9mbhX8uOcDdnANSmGfJ9j3mWQnF7cq++Wd6ZEutUn9kfXI+tw+yH0LckBnTxeYqTc0c+u4RqCXx3C8oh+kRSqJf1q1C/N7kv5GwQd3Va9T+sbWjYJduTLSp9r7k/t9YzHcibFjMo0fbEUAAAQQQQAABBBBAAAEEEEhAYL7DBiV2QLRf5+8pO3ZET214WVetj5Wct2A/ZLdQrKxWvmaa5N+CPCDazSO405FCokhvN/t9d5iwwa3w7DOWQXvKhy24BpPZPhE6rInz/bnbGjvYrA1HrC3FnKFSnAOizaCiRunMT3WquUb323o4n2GDZPsdyR8EvV3/79X/oQ3HxyXPVQtxn/sF6JAfg7j9mh7IsHNvCZ7ZEDposagS+32L+COyCD5O2LAIBokmIoAAAggggAACCCCAAAIIIDCXArNF0KA33pPZRsleGHtcXTfeUVvtSvcuxnlj17y25O1TR+E1X6zcp9r7k44b7EXAuq4hDbetdRRpfUY3RPEv9PjZgo8Ad7cmRdiqxXaAcaw3f8OEDW6FZ++x9N7vP2LBNeJDOS9hg+M8g5LVC2XPAWOrGs9C/jyHDbYCe61a/1dad17ap76s3+9Y3Od+ITpYEzFuvyLOfb+wwbbCJWDLNtt2WB5boAX+BiazjZLM/y8CtthK7vct4o/IIvg4YcMiGCSaiAACCCCAAAIIIIAAAggggMBcCpjF11THqCaO1WuF6xcmFTbkNDV+QlvWtOZXHaTSb2ns1NOqLin039PtwVY93HQqvx2Sf9tcGmwWVt3OerAVujzOdkgA3laYktte+vHChvDjZ/dU3csafbdT9akvhOyl/a3u5oH3dKbxKyWrQXLZyzr41A4duVrYxCreNiMhwwbd0Xj3D7Wm/Zf5bbPc37y3arKfaHDnZjX1WVsNeRRCA4ubIbkcH5ufsMEsOrsdAl3uHDBCs5LtmYodNYM14xwF0yFhW1twNPM9Ht9d/PdYz/3CdMh3LVa/pnHCjo9v2GA/wDvVPKCPzjRqtTPHta3Csb6/wmGDbTs2l633CsiamhzSq7v2zJ6REitMLe+3ZCFfRdiwkEeHtiGAAAIIIIAAAggggAACCCAwHwK21QMN6njrVe1/eu30PuxmA5IKG6x73tVE349V39JXCBLSXerdu11ba1OF4vXUpC6fPqwdxXMXXAvjn2qw5bB+t6lBX3ugRg31VdMrBqyC0GWdPtw2vX+999u19sJ4SnUdr2j/ts3aUmxHvrj0a43c/Cddu/Yl7T/2pFKRx8SxpZMa1JF5Xi3b6lRVDFimJjU2ckN/N/J/tb539+z+32GKf6HHz6qVmdvsWPW9DmX2b9OmmX33C/ZjI7/V76/9o1buf0GNKWMzctt+9Y65Yl13PqNXW96WDu3V2jc7dTz2nuZhwwar3TfVt/sHasmfWVCjdNcr2rt9s2rzYYpzTviES2HMI88B+0HnvuclBH1/dlAtB36nTU/+sR6oWa/6qmI0eFeTlzM6vKNVZ/MPVadGJw6pfoWjyus2B15s0Tbb8/Nrjfz2hkY+Xa/eH9fqPjmCv3Svho7u1Nq87V1Njl3Uhf5Ds+dFWGc6uK3iCepbVFfb3C9c7FncNu5d/nO/QB2m+1Z+v6ZvEHZ8AsIG2cI/63f1mLr3/8X0s2jNl58r8+pBHdcz6lr7K7Uf/80CCBus35Dr6t6yVe35oHQ+ft+iTviF/3nChoU/RrQQAQQQQAABBBBAAAEEEEAAgTkWsK80ML/MXhRNMmwoDRy8OpmyFTbNT5nbZ3hd7fOW+0yB7gOdOPCsWosH63rdym11ROiRuafs9TM6sHVPoRDs9ed8SzZU8S/s+M10WNdPHNDW1uIB2l6N2aWBz3rtYYNVtJ94W7vrn/Hox3QR/+UHdO6/JXGAaoSwweqGLXDwmRM9p3V036MugVqEQ3JDj33hg4mtbDDnhOdD06zM2E/UXO2+Rkm5bKg5YHv+fW2tgnKv3ti/Sheeapwu1lqNc7ytHmo+R4G1H3rtuVrF5Za5bJnP/YJ0mO1g2f2ybhF2fALDhhDPYj5Afk7/+VyT1rRba9wqvbKhYFiyMss2d5L+fYsy1xfHZwkbFsc40UoEEEAAAQQQQAABBBBAAAEE5ljAevP7qs5njqnluHW4rPXn3Eoi6bChWNwZ1/AHVzS4t90oYBdWGTz3ve8YKxZcK4YaH/5Qn/zhml5vOV44DDr/Z60e2KXvfeu7xpvffoT3lB1/Xx9c+Zn2FldTzNxnp9atfFA1Dd+eXYlQ7mjkVw38Sv/79Zdmt+HIv4XfqSe/tqr0O8IW//Jv7geNn73RuayP+7ovaaXtrXmXay+e12uGubU65eSOJ/SY9YZ8YgeoRgwb8s30G8sQcyK0ebRJkFjYkC+Ijmv4w3/WH66dMZ7X6ZUqz23St0LN1elVO3970f7spNLqOvmkY7XQdF9zWY0PndPJPcVntTB3G9evn14N5NhmJuUIPebC1twuLWCv/dIRK/O5X4gOts6V2a+w4xMmbLDaYzkNv6fzrxm/d/n59SM98Zj1e/rvGu/esqDChjyj9Tt96YL6jf+TbKvvwvY/2k/Ekvg0YcOSGEY6gQACCCCAAAIIIIAAAggggAACCCCAwPITmD0TJeiA++VnQ4/nSMAIuCKfJTRHTVootyVsWCgjQTsQQAABBBBAAAEEEEAAAQQQQAABBBBAIIKAuY1SwMHQEe7KRxHwFjC3rSPgcjoRNvDsIIAAAggggAACCCCAAAIIIIAAAggggMDiEzAP9G3I6NbFZlU5zsNefJ2ixQtawDyzI7VbAx/1qHG1dVA6f5YAYQPzAAEEEEAAAQQQQAABBBBAAAEEEEAAAQQWmUBOd8cOqnrDEWVVq47RSzpW/+Ai6wPNXVgCn2qw5bB+t6nB5cySu5ocu6gL/YfUfvZm/kyjdOanOtVco/sXVicq2hrChory8+UIIIAAAggggAACCCCAAAIIIIAAAgggEFkgN6G+TfVqGclKkQ+GjvxtXLAcBMyDn337W6N0z2kd3feoUqyksUkRNiyHB4U+IoAAAggggAACCCCAAAIIIIAAAgggsGQE7Pvm13UNabhtLW+YL5nxrVxHctlxDX/4z/rDtTNqOT5ib0hdhzLPfUd/+sh3VZti6yS3USJsqNzc5ZsRQAABBBBAAAEEEEAAAQQQQAABBBBAAAEEEFgSAoQNS2IY6QQCCCCAAAIIIIAAAggggAACCCCAAAIIIIAAApUTIGyonD3fjAACCCCAAAIIIIAAAggggAACCCCAAAIIIIDAkhAgbFgSw0gnEEAAAQQQQAABBBBAAAEEEEAAAQQQQAABBBConABhQ+Xs+WYEEEAAAQQQQAABBBBAAAEEEEAAAQQQQAABBJaEAGHDkhhGOoEAAggggAACCCCAAAIIIIAAAggggAACCCCAQOUECBsqZ883I4AAAggggAACCCCAAAIIIIAAAggggAACCCCwJAQIG5bEMNIJBBBAAAEEEEAAAQQQQAABBBBAAAEEEEAAAQQqJ0DYUDl7vhkBBBBAAAEEEEAAAQQQQAABBBBAAAEEEEAAgSUhQNiwJIaRTiCAAAIIIIAAAggggAACCCCAAAIIIIAAAgggUDkBwobK2fPNCCCAAAIIIIAAAggggAACCCCAAAIIIIAAAggsCQHChiUxjHQCAQQQQAABBBBAAAEEEEAAAQQQQAABBBBAAIHKCRA2VM6eb0YAAQQQQAABBBBAAAEEEEAAAQQQQAABBBBAYEkIEDYsiWGkEwgggAACCCCAAAIIIIAAAggggAACCCCAAAIIVE6AsKFy9nwzAggggAACCCCAAAIIIIAAAgtE4FMN7livprMfS6pT141htdXev0DatlCacU/Z8ff14Se3de31l3T8atZoWIM6Mju17qt/oob6KkWSm5rU2KUL6t/brrPTt0ylu3RyxxN6LOq9YlPd1eTYFd28868ufaxRuqtTjevXa0ttSn8U5bti93GO2lXShzsa7/6h1rT/kucgyvjyWQQQQGBagLCBqYAAAggggAACCCCAAAIIIIDAshcgbAiaAp+Pd6t6TbusOMbvL5V+S2Onnlb1/UHl+HvKXj+jA1v3zIQMzvum0r0aOrpTa1NfCGpeAv8+pfHuLVrTfjWoh6rr6NUbL25V1bz0cS7a5dbFnKbGT2jLmlYVBAjdEphU3AIBBJaZAGHDMhtwuosAAggggAACCCCAAAIIIIBAqQBhQ9Cs+Hz8lPZc+S9q+Noq1TR82yi0Wyse3tO5ky+p/ezN/G1SHaOaOFavFZ43zWlq4m3trn8mHzSk0j3qf6FFG6usK+5q8nJGh3e0Tv9b2PAiqAdB/24V9ffp/AObtG7lg8F9bB7QR2catdozU0mqj0m3y90hd3tQOx9uUt/MghXChqAZw78jgAACTgHCBuYEAggggAACCCCAAAIIIIAAAstegLAh9hSYuq7uLVvVbm2vlOrU6MQh1a/wqMQbn025Fu3NQn1KdV1DGm5bG217ptgdcrmB2Uc9rq4b76itdqX7N81nH6O0y621uU80uHOzmvoKYVHhj7BhLqYQ90QAgaUtQNiwtMeX3iGAAAIIIIAAAggggAACCCAQQoCwIQRSwEfM7X78CtX3dHuwVQ83nVLWt2BvnB+Q2q2Bj3rUuHo+tlPy62ZOd8cOqnrDEVkLAL7edUMTbbW6r+SS+e5j2Ha59c1oq+U89E39Yt12nSVsiP9IcAcEEFh2AoQNy27I6TACCCCAAAIIIIAAAggggAACTgHChvhzwgwbdmngs141pkrL8MpNqG9TvVpGslJDRrcuNqvKYwFEbrJPmx5q0YhSasiM6WJzdbSDmeN3quQOs22SlB7QZ/2NSjk/VYE+hmqXi8fs9kk1ah54T2ceGdePVjURNszB3OGWCCCw9AUIG5b+GNNDBBBAAAEEEEAAAQQQQAABBAIEgsOG2QOSv670wBX1N37Z/Z7ZQe3IF2u93nz/XNnBPVrV9Ib1CeNedzU5dlEX+g/Nnn2Q7lLv3u3aWpsKKLJb5ya8rw+u/Ex728/m37qXUqrreEX7t23WlsDrE5ggIQvsZlHce2XAdHvujun56g06bnUoIJhIoAehbmE7KNsjbKhEH8O0qzQ5md0+aWY7q/9TnL9soxRqQvAhBBBAwBAgbGA6IIAAAggggAACCCCAAAIIILDsBSobNrz5yL/oxIFn1Tp9wLJ9OKbfOG/8invgkMvq+okD2tpaDBmcg1mjdM9pHd33qFKehxnHnQB3NdH3Y9W39AVsjWRu9xMQ2uSbZIxL0DkQcbsQ6vow2xVVoo9h2uXsoDFm5jZVM2EZYUOoKcGHEEAAAcIG5gACCCCAAAIIIIAAAggggAACCMwKVDBsyPyVvvF2m9pvbVRX715t31qbDwVy2cs6+NQOHfE9cNk81yCtrv4X9OzGqsJBylOTunz6sHbkVzoEBBblToVcVuPDH+jvf3NGLcdHpFRaPUNHtW+t10qM/9BkX1oPtfyNpFp1jF7SsfoHfb793zT2/GPacHxc0veVuXVWzVVfLLe18a+zHaTs1f4K9DFUu8zu5zQ1fkJb1rTqqhrUOdqnQ/WrC2EWYUP8ecIdEEBg2QqwsmHZDj0dRwABBBBAAAEEEEAAAQQQQKAoUKmwYfr7617W6Ludqk+ZByAHFa3NgrFH4dssQtf16MbwPtXeH2d5g3kugzF76jqU2b9Nm7YUghLvv7CHSBfvEPXzczmjTW9pZtuhkv5GbXPUzzv7GLZdxnVT19W9Zavar0p1XUMabltbCKisP8KGuZxE3BsBBJa4AGHDEh9guocAAggggAACCCCAAAIIIIBAsEAFwwZzCxtHQ/3PiTDe+vc8z8DcXieJlQEeYUO+3TVKd72ivds3q9YWmpidMlcqhNmmJ24hPnjkw37CvtJktwY+6lHjajMcKt5pfvsYvl3F9hmrYdwCKMKGsFOCzyGAAAIlAoQNTAoEEEAAAQQQQAABBBBAAAEElr1ApcKGlBoyY7rYXO16HoNv2GAcnpzqGNXEsXqtcBnH0AdblzUHrEOtr+i3fzdoHEzt2JbHdt/5LcSX1SWXi+wF/WZlxn6i5mo3bevi+etjtHZZbTNXQTyurhvvqK12pb3HhA1JTRvugwACy1CAsGEZDjpdRgABBBBAAAEEEEAAAQQQQMAuUKmwwf+QZL+gYPbfwo6lf7AR9i7un8tpauJt7a5/RmezkjxXa0RdqRD18/F64XZ19IJ+1DZH/XyhldHbZZ3j4bN9UrHzhA3JTyLuiAACy0aAsGHZDDUdRQABBBBAAAEEEEAAAQQQQMBLYDmEDdLXu25ooq1W983JRLin24OterjplPJ5g+tqi6BzKJwNq+QB0Y4Apa5TA28cUGOV14qGYtvnuo9ltit3W2MHm7XhyIjPeROc2TAnjwY3RQCBZSNA2LBshpqOIoAAAggggAACCCCAAAIIILA0wwa/bZTmdcxn3oqX5HqOhHmGhP+qjkK7jRAo1anRiUOqXxHngOuwGvaCfirdq6GjO7XW8ywK875z2ccY7TLHJizDzOd2aeCzXjWm5iamitwcLkAAAQQWqABhwwIdGJqFAAIIIIAAAggggAACCCCAwPwJLL6VDbnJPm16qEUjFpLnAdHzJ5j/ps/H1V29Ru0fy1pGoRsTbap11KfNdgeutDDOpZjPPuZuD2rnw03qy0qp9FsaO/W0qu8PH3LMVR9jtYuwYZ4fBr4OAQSWowBhw3IcdfqMAAIIIIAAAggggAACCCCAgE0gubAhuND8ubKDe7Sq6Q2rIq/0wBX1N37ZdTzCHhAtfV+ZW2fVXPXFyo6rGQ54hA3KTahvU71aRrKBIcms5VyeN+EgmznXICvVvazRdztVH2pFg3GfuehjEu0KMTtm51ydum4Mq632/hBX8REEEEAAAUuAsIF5gAACCCCAAAIIIIAAAggggMCyF4gSNvicfTB1U327f6CWszfzou5v7icUNsg8zyCluq4hDbetVeVKw+b2QV5nNlgq5tkOj6vrxjtqq13pMgPvaLz7h1rT/kufA6cTnri5TzS4c7Oa+qzx82tb0Pcm3MfE2hXUbmtxSreq17TrYxE2BGvxCQQQQMAuQNjAjEAAAQQQQAABBBBAAAEEEEBg2QsEhw0ytqFxPSPBETTMfdggmdvqSA3qHO3TofrVCr/hT3IDn8te1sGndujIVet46IBCvfGWfqp5QB+dadRqW6PNswn8gpQpjXdv0Zr2q4WOpAf0WX+jUmV1yxGWuLYrwo0T62PC7QroQviwIUn7CK58FAEEEFjAAoQNC3hwaBoCCCCAAAIIIIAAAggggAAC8yMQImywvV1uFvbvanLs58q8elDHbzVqYOib+sW67To75ysbLJl7yo4d0VMbXlah3N6gjsxz2rapQbUzW/9Y7buim78f17WVO3XMY8smf2ersLxP5x/YpHUrH1RNw7dVVTzDIJfV+NA5ndzTrrNWzqCU6jr79e6hjUp5ph7Og4571P9CizZWrZB0V5OXMzq8ozV/P/8zExIseJvbFKlWHaOXdKz+wRjTL6E+Jt4u/y4RNsQYci5FAIFlL0DYsOynAAAIIIAAAggggAACCCCAAAIImGHDLg181qvGlONkY9mLxyVmdZ0aeOOAGv/T+9qxqmmewobpwOH6GR3Yume62O81mv7nQwSHDcYKAs8P1yjdc1pH9z3qEzQUL76nbEC7U+leDR3dqbWeZyYkGDaUcYBy4AHXVhgUt49z0i7v0SZs4NcQAQQQKF+AsKF8O65EAAEEEEAAAQQQQAABBBBAYGkImAf6eh1snO9pTlOTv9alC29qb/tZFV7kT6vr5I/0xGPTb/sbxeG5PbPBQW+tMBi+oiuDR9Q+fWZE/hN1Hco8t04rV9aoob4qxpkO0ysk7vyrrr3+ko7nt0ua/st/xzf11Zr1qs+vTojwNzWpsUsX1L+3uDLCIu3SyR1P6LHA9i70sGHaIU4fCRsiTCY+igACCFRWgLChsv58OwIIIIAAAggggAACCCCAAAIVF8hN9mnTQy0asbKDjlFNHKtXxJJ5xfuwnBtQfBv/3xm75TwN6DsCCCBQcQHChooPAQ1AAAEEEEAAAQQQQAABBBBAoFIC1kqFyzp9uK2wGiC1WwMf9ahx9Rcq1SC+N7LA58oO7tGqpgtqyIzpYnN1RQ7IjtxsLkAAAQQQWHIChA1LbkjpEAIIIIAAAggggAACCCCAAAIeAp+Pq7t6jdo/dvn3VFo9Q0e1b22KYvVimkDFA5TVrhvD+1RbPLh6MfWBtiKAAAIILAkBwoYlMYx0AgEEEEAAAQQQQAABBBBAAIEQAm5hQ/68ge/oTx/5rmo9DyIOcW8+UgEB68yGp3VST2vv9s2MXwVGgK9EAAEEEJgVIGxgNiCAAAIIIIAAAggggAACCCCAAAIIIIAAAggggEAsAcKGWHxcjAACCCCAAAIIIIAAAggggAACCCCAAAIIIIAAAoQNzAEEEEAAAQQQQAABBBBAAAEEEEAAAQQQQAABBBCIJUDYEIuPixFAAAEEEEAAAQQQQAABBBBAAAEEEEAAAQQQQICwgTmAAAIIIIAAAggggAACCCCAAAIIIIAAAggggAACsQQIG2LxcTECCCCAAAIIIIAAAggggAACCCCAAAIIIIAAAggQNjAHEEAAAQQQQAABBBBAAAEEEEAAAQQQQAABBBBAIJYAYUMsPi5GAAEEEEAAAQQQQAABBBBAAAEEEEAAAQQQQAABwgbmAAIIIIAAAggggB/GGGIAAATrSURBVAACCCCAAAIIIIAAAggggAACCMQSIGyIxcfFCCCAAAIIIIAAAggggAACCCCAAAIIIIAAAgggQNjAHEAAAQQQQAABBBBAAAEEEEAAAQQQQAABBBBAAIFYAoQNsfi4GAEEEEAAAQQQQAABBBBAAAEEEEAAAQQQQAABBAgbmAMIIIAAAggggAACCCCAAAIIIIAAAggggAACCCAQS4CwIRYfFyOAAAIIIIAAAggggAACCCCAAAIIIIAAAggggABhA3MAAQQQQAABBBBAAAEEEEAAAQQQQAABBBBAAAEEYgkQNsTi42IEEEAAAQQQQAABBBBAAAEEEEAAAQQQQAABBBAgbGAOIIAAAggggAACCCCAAAIIIIAAAggggAACCCCAQCwBwoZYfFyMAAIIIIAAAggggAACCCCAAAIIIIAAAggggAAChA3MAQQQQAABBBBAAAEEEEAAAQQQQAABBBBAAAEEEIglQNgQi4+LEUAAAQQQQAABBBBAAAEEEEAAAQQQQAABBBBAgLCBOYAAAggggAACCCCAAAIIIIAAAggggAACCCCAAAKxBAgbYvFxMQIIIIAAAggggAACCCCAAAIIIIAAAggggAACCBA2MAcQQAABBBBAAAEEEEAAAQQQQAABBBBAAAEEEEAglgBhQyw+LkYAAQQQQAABBBBAAAEEEEAAAQQQQAABBBBAAAHCBuYAAggggAACCCCAAAIIIIAAAggggAACCCCAAAIIxBIgbIjFx8UIIIAAAggggAACCCCAAAIIIIAAAggggAACCCBA2MAcQAABBBBAAAEEEEAAAQQQQAABBBBAAAEEEEAAgVgChA2x+LgYAQQQQAABBBBAAAEEEEAAAQQQQAABBBBAAAEECBuYAwgggAACCCCAAAIIIIAAAggggAACCCCAAAIIIBBLgLAhFh8XI4AAAggggAACCCCAAAIIIIAAAggggAACCCCAAGEDcwABBBBAAAEEEEAAAQQQQAABBBBAAAEEEEAAAQRiCRA2xOLjYgQQQAABBBBAAAEEEEAAAQQQQAABBBBAAAEEECBsYA4ggAACCCCAAAIIIIAAAggggAACCCCAAAIIIIBALAHChlh8XIwAAggggAACCCCAAAIIIIAAAggggAACCCCAAAKEDcwBBBBAAAEEEEAAAQQQQAABBBBAAAEEEEAAAQQQiCVA2BCLj4sRQAABBBBAAAEEEEAAAQQQQAABBBBAAAEEEECAsIE5gAACCCCAAAIIIIAAAggggAACCCCAAAIIIIAAArEECBti8XExAggggAACCCCAAAIIIIAAAggggAACCCCAAAIIEDYwBxBAAAEEEEAAAQQQQAABBBBAAAEEEEAAAQQQQCCWAGFDLD4uRgABBBBAAAEEEEAAAQQQQAABBBBAAAEEEEAAAcIG5gACCCCAAAIIIIAAAggggAACCCCAAAIIIIAAAgjEEiBsiMXHxQgggAACCCCAAAIIIIAAAggggAACCCCAAAIIIEDYwBxAAAEEEEAAAQQQQAABBBBAAAEEEEAAAQQQQACBWAKEDbH4uBgBBBBAAAEEEEAAAQQQQAABBBBAAAEEEEAAAQQIG5gDCCCAAAIIIIAAAggggAACCCCAAAIIIIAAAgggEEuAsCEWHxcjgAACCCCAAAIIIIAAAggggAACCCCAAAIIIIDA/wcpcSAjH/BAKgAAAABJRU5ErkJggg==">
          <a:extLst>
            <a:ext uri="{FF2B5EF4-FFF2-40B4-BE49-F238E27FC236}">
              <a16:creationId xmlns:a16="http://schemas.microsoft.com/office/drawing/2014/main" id="{DD177E41-5278-488F-899D-54B817598FF8}"/>
            </a:ext>
          </a:extLst>
        </xdr:cNvPr>
        <xdr:cNvSpPr>
          <a:spLocks noChangeAspect="1" noChangeArrowheads="1"/>
        </xdr:cNvSpPr>
      </xdr:nvSpPr>
      <xdr:spPr bwMode="auto">
        <a:xfrm>
          <a:off x="5318760" y="3817620"/>
          <a:ext cx="5943600" cy="2278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95250</xdr:colOff>
      <xdr:row>25</xdr:row>
      <xdr:rowOff>28575</xdr:rowOff>
    </xdr:from>
    <xdr:to>
      <xdr:col>8</xdr:col>
      <xdr:colOff>777240</xdr:colOff>
      <xdr:row>39</xdr:row>
      <xdr:rowOff>96520</xdr:rowOff>
    </xdr:to>
    <xdr:pic>
      <xdr:nvPicPr>
        <xdr:cNvPr id="9" name="Picture 8" descr="C:\Users\jbarto18\AppData\Local\Microsoft\Windows\INetCache\Content.MSO\2874A6AA.tmp">
          <a:extLst>
            <a:ext uri="{FF2B5EF4-FFF2-40B4-BE49-F238E27FC236}">
              <a16:creationId xmlns:a16="http://schemas.microsoft.com/office/drawing/2014/main" id="{48AE315A-0EB9-42A0-B1D6-4AFD788211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3819525"/>
          <a:ext cx="5945505" cy="2273935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69273</xdr:colOff>
      <xdr:row>19</xdr:row>
      <xdr:rowOff>43295</xdr:rowOff>
    </xdr:from>
    <xdr:to>
      <xdr:col>8</xdr:col>
      <xdr:colOff>207299</xdr:colOff>
      <xdr:row>33</xdr:row>
      <xdr:rowOff>53398</xdr:rowOff>
    </xdr:to>
    <xdr:pic>
      <xdr:nvPicPr>
        <xdr:cNvPr id="2" name="Picture 1" descr="C:\Users\jbarto18\AppData\Local\Microsoft\Windows\INetCache\Content.MSO\2874A6AA.tmp">
          <a:extLst>
            <a:ext uri="{FF2B5EF4-FFF2-40B4-BE49-F238E27FC236}">
              <a16:creationId xmlns:a16="http://schemas.microsoft.com/office/drawing/2014/main" id="{46795C8A-5E73-4377-99C9-2FA48D1C5E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23409"/>
          <a:ext cx="5921260" cy="2244148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99060</xdr:colOff>
      <xdr:row>22</xdr:row>
      <xdr:rowOff>160020</xdr:rowOff>
    </xdr:from>
    <xdr:to>
      <xdr:col>5</xdr:col>
      <xdr:colOff>0</xdr:colOff>
      <xdr:row>24</xdr:row>
      <xdr:rowOff>22860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/>
        </xdr:cNvSpPr>
      </xdr:nvSpPr>
      <xdr:spPr bwMode="auto">
        <a:xfrm rot="-5400000">
          <a:off x="1684020" y="4579620"/>
          <a:ext cx="19812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144780</xdr:colOff>
      <xdr:row>2</xdr:row>
      <xdr:rowOff>60960</xdr:rowOff>
    </xdr:from>
    <xdr:to>
      <xdr:col>2</xdr:col>
      <xdr:colOff>617220</xdr:colOff>
      <xdr:row>2</xdr:row>
      <xdr:rowOff>99060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/>
        </xdr:cNvSpPr>
      </xdr:nvSpPr>
      <xdr:spPr bwMode="auto">
        <a:xfrm rot="5400000">
          <a:off x="1764030" y="453390"/>
          <a:ext cx="3810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144780</xdr:colOff>
      <xdr:row>2</xdr:row>
      <xdr:rowOff>76200</xdr:rowOff>
    </xdr:from>
    <xdr:to>
      <xdr:col>4</xdr:col>
      <xdr:colOff>617220</xdr:colOff>
      <xdr:row>2</xdr:row>
      <xdr:rowOff>121920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/>
        </xdr:cNvSpPr>
      </xdr:nvSpPr>
      <xdr:spPr bwMode="auto">
        <a:xfrm rot="5400000">
          <a:off x="1760220" y="472440"/>
          <a:ext cx="4572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129540</xdr:colOff>
      <xdr:row>2</xdr:row>
      <xdr:rowOff>68580</xdr:rowOff>
    </xdr:from>
    <xdr:to>
      <xdr:col>6</xdr:col>
      <xdr:colOff>594360</xdr:colOff>
      <xdr:row>2</xdr:row>
      <xdr:rowOff>106680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/>
        </xdr:cNvSpPr>
      </xdr:nvSpPr>
      <xdr:spPr bwMode="auto">
        <a:xfrm rot="5400000">
          <a:off x="1764030" y="461010"/>
          <a:ext cx="3810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129540</xdr:colOff>
      <xdr:row>2</xdr:row>
      <xdr:rowOff>68580</xdr:rowOff>
    </xdr:from>
    <xdr:to>
      <xdr:col>8</xdr:col>
      <xdr:colOff>594360</xdr:colOff>
      <xdr:row>2</xdr:row>
      <xdr:rowOff>106680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/>
        </xdr:cNvSpPr>
      </xdr:nvSpPr>
      <xdr:spPr bwMode="auto">
        <a:xfrm rot="5400000">
          <a:off x="1764030" y="461010"/>
          <a:ext cx="3810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129540</xdr:colOff>
      <xdr:row>2</xdr:row>
      <xdr:rowOff>68580</xdr:rowOff>
    </xdr:from>
    <xdr:to>
      <xdr:col>10</xdr:col>
      <xdr:colOff>594360</xdr:colOff>
      <xdr:row>2</xdr:row>
      <xdr:rowOff>106680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/>
        </xdr:cNvSpPr>
      </xdr:nvSpPr>
      <xdr:spPr bwMode="auto">
        <a:xfrm rot="5400000">
          <a:off x="1764030" y="461010"/>
          <a:ext cx="3810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144780</xdr:colOff>
      <xdr:row>23</xdr:row>
      <xdr:rowOff>0</xdr:rowOff>
    </xdr:from>
    <xdr:to>
      <xdr:col>7</xdr:col>
      <xdr:colOff>45720</xdr:colOff>
      <xdr:row>24</xdr:row>
      <xdr:rowOff>30480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/>
        </xdr:cNvSpPr>
      </xdr:nvSpPr>
      <xdr:spPr bwMode="auto">
        <a:xfrm rot="-5400000">
          <a:off x="1684020" y="4587240"/>
          <a:ext cx="19812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205740</xdr:colOff>
      <xdr:row>22</xdr:row>
      <xdr:rowOff>144780</xdr:rowOff>
    </xdr:from>
    <xdr:to>
      <xdr:col>9</xdr:col>
      <xdr:colOff>106680</xdr:colOff>
      <xdr:row>24</xdr:row>
      <xdr:rowOff>7620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>
          <a:spLocks/>
        </xdr:cNvSpPr>
      </xdr:nvSpPr>
      <xdr:spPr bwMode="auto">
        <a:xfrm rot="-5400000">
          <a:off x="1684020" y="4564380"/>
          <a:ext cx="19812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243840</xdr:colOff>
      <xdr:row>23</xdr:row>
      <xdr:rowOff>7620</xdr:rowOff>
    </xdr:from>
    <xdr:to>
      <xdr:col>11</xdr:col>
      <xdr:colOff>144780</xdr:colOff>
      <xdr:row>24</xdr:row>
      <xdr:rowOff>38100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>
          <a:spLocks/>
        </xdr:cNvSpPr>
      </xdr:nvSpPr>
      <xdr:spPr bwMode="auto">
        <a:xfrm rot="-5400000">
          <a:off x="1684020" y="4594860"/>
          <a:ext cx="19812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129540</xdr:colOff>
      <xdr:row>2</xdr:row>
      <xdr:rowOff>68580</xdr:rowOff>
    </xdr:from>
    <xdr:to>
      <xdr:col>12</xdr:col>
      <xdr:colOff>594360</xdr:colOff>
      <xdr:row>2</xdr:row>
      <xdr:rowOff>106680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>
          <a:spLocks/>
        </xdr:cNvSpPr>
      </xdr:nvSpPr>
      <xdr:spPr bwMode="auto">
        <a:xfrm rot="5400000">
          <a:off x="1764030" y="461010"/>
          <a:ext cx="3810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243840</xdr:colOff>
      <xdr:row>23</xdr:row>
      <xdr:rowOff>7620</xdr:rowOff>
    </xdr:from>
    <xdr:to>
      <xdr:col>13</xdr:col>
      <xdr:colOff>144780</xdr:colOff>
      <xdr:row>24</xdr:row>
      <xdr:rowOff>38100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>
          <a:spLocks/>
        </xdr:cNvSpPr>
      </xdr:nvSpPr>
      <xdr:spPr bwMode="auto">
        <a:xfrm rot="-5400000">
          <a:off x="1756410" y="4522470"/>
          <a:ext cx="198120" cy="144780"/>
        </a:xfrm>
        <a:prstGeom prst="leftBrace">
          <a:avLst>
            <a:gd name="adj1" fmla="val 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115956</xdr:colOff>
      <xdr:row>2</xdr:row>
      <xdr:rowOff>24847</xdr:rowOff>
    </xdr:from>
    <xdr:to>
      <xdr:col>15</xdr:col>
      <xdr:colOff>496953</xdr:colOff>
      <xdr:row>2</xdr:row>
      <xdr:rowOff>115956</xdr:rowOff>
    </xdr:to>
    <xdr:sp macro="" textlink="">
      <xdr:nvSpPr>
        <xdr:cNvPr id="13" name="AutoShape 14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>
          <a:spLocks/>
        </xdr:cNvSpPr>
      </xdr:nvSpPr>
      <xdr:spPr bwMode="auto">
        <a:xfrm rot="5400000">
          <a:off x="2343976" y="-82825"/>
          <a:ext cx="91109" cy="1085019"/>
        </a:xfrm>
        <a:prstGeom prst="leftBracket">
          <a:avLst>
            <a:gd name="adj" fmla="val 261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546652</xdr:colOff>
      <xdr:row>23</xdr:row>
      <xdr:rowOff>49033</xdr:rowOff>
    </xdr:from>
    <xdr:to>
      <xdr:col>15</xdr:col>
      <xdr:colOff>615232</xdr:colOff>
      <xdr:row>24</xdr:row>
      <xdr:rowOff>5301</xdr:rowOff>
    </xdr:to>
    <xdr:sp macro="" textlink="">
      <xdr:nvSpPr>
        <xdr:cNvPr id="14" name="AutoShape 15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>
          <a:spLocks/>
        </xdr:cNvSpPr>
      </xdr:nvSpPr>
      <xdr:spPr bwMode="auto">
        <a:xfrm rot="-5400000">
          <a:off x="2603058" y="4188018"/>
          <a:ext cx="121920" cy="772602"/>
        </a:xfrm>
        <a:prstGeom prst="leftBrace">
          <a:avLst>
            <a:gd name="adj1" fmla="val 5545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28823</xdr:colOff>
      <xdr:row>2</xdr:row>
      <xdr:rowOff>44395</xdr:rowOff>
    </xdr:from>
    <xdr:to>
      <xdr:col>17</xdr:col>
      <xdr:colOff>501264</xdr:colOff>
      <xdr:row>2</xdr:row>
      <xdr:rowOff>82495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>
          <a:spLocks/>
        </xdr:cNvSpPr>
      </xdr:nvSpPr>
      <xdr:spPr bwMode="auto">
        <a:xfrm rot="5400000">
          <a:off x="3737113" y="-135503"/>
          <a:ext cx="38100" cy="1176462"/>
        </a:xfrm>
        <a:prstGeom prst="leftBracket">
          <a:avLst>
            <a:gd name="adj" fmla="val 2627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276639</xdr:colOff>
      <xdr:row>23</xdr:row>
      <xdr:rowOff>15902</xdr:rowOff>
    </xdr:from>
    <xdr:to>
      <xdr:col>18</xdr:col>
      <xdr:colOff>125068</xdr:colOff>
      <xdr:row>23</xdr:row>
      <xdr:rowOff>137822</xdr:rowOff>
    </xdr:to>
    <xdr:sp macro="" textlink="">
      <xdr:nvSpPr>
        <xdr:cNvPr id="16" name="AutoShape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/>
        </xdr:cNvSpPr>
      </xdr:nvSpPr>
      <xdr:spPr bwMode="auto">
        <a:xfrm rot="-5400000">
          <a:off x="3983024" y="3912952"/>
          <a:ext cx="121920" cy="1256472"/>
        </a:xfrm>
        <a:prstGeom prst="leftBrace">
          <a:avLst>
            <a:gd name="adj1" fmla="val 561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127552</xdr:colOff>
      <xdr:row>2</xdr:row>
      <xdr:rowOff>36112</xdr:rowOff>
    </xdr:from>
    <xdr:to>
      <xdr:col>19</xdr:col>
      <xdr:colOff>599992</xdr:colOff>
      <xdr:row>2</xdr:row>
      <xdr:rowOff>74212</xdr:rowOff>
    </xdr:to>
    <xdr:sp macro="" textlink="">
      <xdr:nvSpPr>
        <xdr:cNvPr id="18" name="AutoShape 14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>
          <a:spLocks/>
        </xdr:cNvSpPr>
      </xdr:nvSpPr>
      <xdr:spPr bwMode="auto">
        <a:xfrm rot="5400000">
          <a:off x="5243885" y="-143786"/>
          <a:ext cx="38100" cy="1176462"/>
        </a:xfrm>
        <a:prstGeom prst="leftBracket">
          <a:avLst>
            <a:gd name="adj" fmla="val 2627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301488</xdr:colOff>
      <xdr:row>23</xdr:row>
      <xdr:rowOff>32468</xdr:rowOff>
    </xdr:from>
    <xdr:to>
      <xdr:col>23</xdr:col>
      <xdr:colOff>149916</xdr:colOff>
      <xdr:row>23</xdr:row>
      <xdr:rowOff>154388</xdr:rowOff>
    </xdr:to>
    <xdr:sp macro="" textlink="">
      <xdr:nvSpPr>
        <xdr:cNvPr id="19" name="AutoShape 15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>
          <a:spLocks/>
        </xdr:cNvSpPr>
      </xdr:nvSpPr>
      <xdr:spPr bwMode="auto">
        <a:xfrm rot="-5400000">
          <a:off x="7175971" y="3577507"/>
          <a:ext cx="121920" cy="1960493"/>
        </a:xfrm>
        <a:prstGeom prst="leftBrace">
          <a:avLst>
            <a:gd name="adj1" fmla="val 876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77858</xdr:colOff>
      <xdr:row>2</xdr:row>
      <xdr:rowOff>60961</xdr:rowOff>
    </xdr:from>
    <xdr:to>
      <xdr:col>22</xdr:col>
      <xdr:colOff>550298</xdr:colOff>
      <xdr:row>2</xdr:row>
      <xdr:rowOff>99061</xdr:rowOff>
    </xdr:to>
    <xdr:sp macro="" textlink="">
      <xdr:nvSpPr>
        <xdr:cNvPr id="20" name="AutoShape 14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>
          <a:spLocks/>
        </xdr:cNvSpPr>
      </xdr:nvSpPr>
      <xdr:spPr bwMode="auto">
        <a:xfrm rot="5400000">
          <a:off x="6954246" y="-470948"/>
          <a:ext cx="38100" cy="1880483"/>
        </a:xfrm>
        <a:prstGeom prst="leftBracket">
          <a:avLst>
            <a:gd name="adj" fmla="val 42239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374376</xdr:colOff>
      <xdr:row>2</xdr:row>
      <xdr:rowOff>31141</xdr:rowOff>
    </xdr:from>
    <xdr:to>
      <xdr:col>26</xdr:col>
      <xdr:colOff>7620</xdr:colOff>
      <xdr:row>2</xdr:row>
      <xdr:rowOff>76860</xdr:rowOff>
    </xdr:to>
    <xdr:sp macro="" textlink="">
      <xdr:nvSpPr>
        <xdr:cNvPr id="21" name="AutoShape 14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>
          <a:spLocks/>
        </xdr:cNvSpPr>
      </xdr:nvSpPr>
      <xdr:spPr bwMode="auto">
        <a:xfrm rot="5400000">
          <a:off x="10150338" y="-349361"/>
          <a:ext cx="45719" cy="1553484"/>
        </a:xfrm>
        <a:prstGeom prst="leftBracket">
          <a:avLst>
            <a:gd name="adj" fmla="val 26318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349857</xdr:colOff>
      <xdr:row>23</xdr:row>
      <xdr:rowOff>32467</xdr:rowOff>
    </xdr:from>
    <xdr:to>
      <xdr:col>24</xdr:col>
      <xdr:colOff>886239</xdr:colOff>
      <xdr:row>23</xdr:row>
      <xdr:rowOff>154387</xdr:rowOff>
    </xdr:to>
    <xdr:sp macro="" textlink="">
      <xdr:nvSpPr>
        <xdr:cNvPr id="22" name="AutoShape 15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>
          <a:spLocks/>
        </xdr:cNvSpPr>
      </xdr:nvSpPr>
      <xdr:spPr bwMode="auto">
        <a:xfrm rot="-5400000">
          <a:off x="8976360" y="3937551"/>
          <a:ext cx="121920" cy="1240404"/>
        </a:xfrm>
        <a:prstGeom prst="leftBrace">
          <a:avLst>
            <a:gd name="adj1" fmla="val 558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8466</xdr:colOff>
      <xdr:row>24</xdr:row>
      <xdr:rowOff>127001</xdr:rowOff>
    </xdr:from>
    <xdr:to>
      <xdr:col>4</xdr:col>
      <xdr:colOff>67733</xdr:colOff>
      <xdr:row>25</xdr:row>
      <xdr:rowOff>42333</xdr:rowOff>
    </xdr:to>
    <xdr:cxnSp macro="">
      <xdr:nvCxnSpPr>
        <xdr:cNvPr id="2" name="Curved Connector 1">
          <a:extLst>
            <a:ext uri="{FF2B5EF4-FFF2-40B4-BE49-F238E27FC236}">
              <a16:creationId xmlns:a16="http://schemas.microsoft.com/office/drawing/2014/main" id="{3D2425EC-BFC7-45CB-B199-4720FBAE6F40}"/>
            </a:ext>
          </a:extLst>
        </xdr:cNvPr>
        <xdr:cNvCxnSpPr/>
      </xdr:nvCxnSpPr>
      <xdr:spPr>
        <a:xfrm>
          <a:off x="5096721" y="3778886"/>
          <a:ext cx="293582" cy="56302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0</xdr:colOff>
      <xdr:row>25</xdr:row>
      <xdr:rowOff>0</xdr:rowOff>
    </xdr:from>
    <xdr:to>
      <xdr:col>8</xdr:col>
      <xdr:colOff>173355</xdr:colOff>
      <xdr:row>52</xdr:row>
      <xdr:rowOff>22039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233C8B-972D-435B-89C2-002685811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24475" y="3790950"/>
          <a:ext cx="5808345" cy="40663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POSCTL/HISTORY/Benefit%20rates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BUDGET\POSCTL\PBM%20Fringe%20Calculator\FY23\FY%2022-23%20Fringe%20Calculator.xlsx" TargetMode="External"/><Relationship Id="rId1" Type="http://schemas.openxmlformats.org/officeDocument/2006/relationships/externalLinkPath" Target="/BUDGET/POSCTL/PBM%20Fringe%20Calculator/FY23/FY%2022-23%20Fringe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TSERS detail"/>
      <sheetName val="ORP detail"/>
      <sheetName val="LEOB detail"/>
      <sheetName val="Retirement Summary"/>
    </sheetNames>
    <sheetDataSet>
      <sheetData sheetId="0"/>
      <sheetData sheetId="1">
        <row r="29">
          <cell r="L29">
            <v>2.6600000000000006E-2</v>
          </cell>
        </row>
      </sheetData>
      <sheetData sheetId="2">
        <row r="29">
          <cell r="L29">
            <v>0.11159999999999999</v>
          </cell>
        </row>
      </sheetData>
      <sheetData sheetId="3">
        <row r="29">
          <cell r="L29">
            <v>0.12139999999999998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Y 16-17 GF Fringes"/>
      <sheetName val=" FY 16-17 GF Calculator "/>
      <sheetName val="FY 16-17 Non GF Calculator "/>
      <sheetName val="FY 15-16 GF Fringes"/>
      <sheetName val=" FY 15-16 GF Calculator"/>
      <sheetName val="FY 15-16 Non GF fringes"/>
      <sheetName val="FY 15-16 Non GF Calculator"/>
      <sheetName val="FY 17-18 GF Fringes"/>
      <sheetName val="FY 21-22 Fringes"/>
      <sheetName val=" FY 20-21 GF Calculator "/>
      <sheetName val="FY 20-21 Non GF Calculator  "/>
      <sheetName val="HB 226"/>
      <sheetName val=" FY 21-22 GF Calculator "/>
      <sheetName val="FY 21-22 Non GF Calculator"/>
      <sheetName val="FY 22-23 Fringes"/>
      <sheetName val=" FY 22-23 GF Calculator"/>
      <sheetName val="FY 22-23 Non GF Calculator"/>
      <sheetName val="Pay periods"/>
      <sheetName val="Fringe history"/>
      <sheetName val="FY 14-15 (Non General Funds)"/>
      <sheetName val=" FY 14-15 (General Funds)"/>
      <sheetName val=" FY 13-14 (General Funds)"/>
      <sheetName val="FY 13-14 (Non General Funds"/>
      <sheetName val=" FY 12-13 (General Funds) "/>
      <sheetName val="FY 12-13 (Non General Funds)"/>
      <sheetName val="Salary calc 11-12"/>
      <sheetName val="Salary calc 10-11"/>
      <sheetName val="Salary calc 09-10"/>
      <sheetName val="Salary calc 08-09"/>
    </sheetNames>
    <sheetDataSet>
      <sheetData sheetId="0"/>
      <sheetData sheetId="1">
        <row r="18">
          <cell r="C18">
            <v>7.6499999999999999E-2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ncga.state.nc.us/EnactedLegislation/Statutes/PDF/BySection/Chapter_143C/GS_143C-6-6.pdf" TargetMode="External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ncga.state.nc.us/EnactedLegislation/Statutes/PDF/BySection/Chapter_143C/GS_143C-6-6.pdf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ncga.state.nc.us/EnactedLegislation/Statutes/PDF/BySection/Chapter_143C/GS_143C-6-6.pdf" TargetMode="External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ncga.state.nc.us/EnactedLegislation/Statutes/PDF/BySection/Chapter_143C/GS_143C-6-6.pdf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ncga.state.nc.us/EnactedLegislation/Statutes/PDF/BySection/Chapter_143C/GS_143C-6-6.pdf" TargetMode="External"/><Relationship Id="rId4" Type="http://schemas.openxmlformats.org/officeDocument/2006/relationships/comments" Target="../comments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ncga.state.nc.us/EnactedLegislation/Statutes/PDF/BySection/Chapter_143C/GS_143C-6-6.pdf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cga.state.nc.us/EnactedLegislation/Statutes/PDF/BySection/Chapter_143C/GS_143C-6-6.pdf" TargetMode="External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1.vml"/><Relationship Id="rId3" Type="http://schemas.openxmlformats.org/officeDocument/2006/relationships/hyperlink" Target="file:///C:\Users\kkillou2\GENERAL\FY08\Medical%20rate%20for%20budgeting%20purposes%2008.xls" TargetMode="External"/><Relationship Id="rId7" Type="http://schemas.openxmlformats.org/officeDocument/2006/relationships/drawing" Target="../drawings/drawing8.xml"/><Relationship Id="rId2" Type="http://schemas.openxmlformats.org/officeDocument/2006/relationships/hyperlink" Target="file:///C:\Users\kkillou2\GENERAL\FY08\Medical%20rate%20for%20budgeting%20purposes%2008.xls" TargetMode="External"/><Relationship Id="rId1" Type="http://schemas.openxmlformats.org/officeDocument/2006/relationships/hyperlink" Target="file:///C:\Users\kkillou2\GENERAL\FY08\Medical%20rate%20for%20budgeting%20purposes%2008.xls" TargetMode="External"/><Relationship Id="rId6" Type="http://schemas.openxmlformats.org/officeDocument/2006/relationships/printerSettings" Target="../printerSettings/printerSettings21.bin"/><Relationship Id="rId5" Type="http://schemas.openxmlformats.org/officeDocument/2006/relationships/hyperlink" Target="file:///C:\Users\kkillou2\GENERAL\FY08\Medical%20rate%20for%20budgeting%20purposes%2008.xls" TargetMode="External"/><Relationship Id="rId4" Type="http://schemas.openxmlformats.org/officeDocument/2006/relationships/hyperlink" Target="file:///C:\Users\kkillou2\GENERAL\FY08\Medical%20rate%20for%20budgeting%20purposes%2008.xls" TargetMode="External"/><Relationship Id="rId9" Type="http://schemas.openxmlformats.org/officeDocument/2006/relationships/comments" Target="../comments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ncga.state.nc.us/EnactedLegislation/Statutes/PDF/BySection/Chapter_143C/GS_143C-6-6.pdf" TargetMode="External"/><Relationship Id="rId4" Type="http://schemas.openxmlformats.org/officeDocument/2006/relationships/comments" Target="../comments1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ncga.state.nc.us/EnactedLegislation/Statutes/PDF/BySection/Chapter_143C/GS_143C-6-6.pdf" TargetMode="External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1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cga.state.nc.us/EnactedLegislation/Statutes/PDF/BySection/Chapter_143C/GS_143C-6-6.pdf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8"/>
  <sheetViews>
    <sheetView workbookViewId="0"/>
  </sheetViews>
  <sheetFormatPr defaultColWidth="8.88671875" defaultRowHeight="10.199999999999999" x14ac:dyDescent="0.2"/>
  <cols>
    <col min="1" max="1" width="11" style="183" customWidth="1"/>
    <col min="2" max="2" width="40.44140625" style="182" customWidth="1"/>
    <col min="3" max="3" width="8.5546875" style="182" customWidth="1"/>
    <col min="4" max="4" width="6.109375" style="182" bestFit="1" customWidth="1"/>
    <col min="5" max="7" width="8.5546875" style="183" customWidth="1"/>
    <col min="8" max="9" width="8.5546875" style="182" customWidth="1"/>
    <col min="10" max="10" width="3.88671875" style="182" customWidth="1"/>
    <col min="11" max="11" width="29.5546875" style="182" customWidth="1"/>
    <col min="12" max="16384" width="8.88671875" style="182"/>
  </cols>
  <sheetData>
    <row r="1" spans="1:11" ht="13.8" x14ac:dyDescent="0.25">
      <c r="E1" s="425" t="s">
        <v>178</v>
      </c>
      <c r="F1" s="425"/>
      <c r="G1" s="425"/>
      <c r="H1" s="425"/>
      <c r="I1" s="223"/>
      <c r="J1" s="223"/>
      <c r="K1" s="237" t="s">
        <v>200</v>
      </c>
    </row>
    <row r="2" spans="1:11" s="185" customFormat="1" ht="68.400000000000006" customHeight="1" x14ac:dyDescent="0.2">
      <c r="A2" s="184" t="s">
        <v>136</v>
      </c>
      <c r="B2" s="185" t="s">
        <v>137</v>
      </c>
      <c r="C2" s="185" t="s">
        <v>159</v>
      </c>
      <c r="D2" s="184" t="s">
        <v>138</v>
      </c>
      <c r="E2" s="207" t="s">
        <v>146</v>
      </c>
      <c r="F2" s="207" t="s">
        <v>147</v>
      </c>
      <c r="G2" s="207" t="s">
        <v>148</v>
      </c>
      <c r="H2" s="217" t="s">
        <v>187</v>
      </c>
      <c r="I2" s="239" t="s">
        <v>198</v>
      </c>
      <c r="J2" s="184"/>
      <c r="K2" s="246" t="s">
        <v>198</v>
      </c>
    </row>
    <row r="3" spans="1:11" x14ac:dyDescent="0.2">
      <c r="A3" s="186">
        <v>10</v>
      </c>
      <c r="B3" s="187" t="s">
        <v>228</v>
      </c>
      <c r="C3" s="186" t="s">
        <v>155</v>
      </c>
      <c r="D3" s="187">
        <v>912100</v>
      </c>
      <c r="E3" s="188">
        <v>7.6499999999999999E-2</v>
      </c>
      <c r="F3" s="188">
        <v>0.1633</v>
      </c>
      <c r="G3" s="227"/>
      <c r="H3" s="208">
        <v>5659</v>
      </c>
      <c r="I3" s="243" t="s">
        <v>197</v>
      </c>
      <c r="J3" s="224"/>
      <c r="K3" s="247" t="s">
        <v>197</v>
      </c>
    </row>
    <row r="4" spans="1:11" x14ac:dyDescent="0.2">
      <c r="A4" s="189">
        <v>10</v>
      </c>
      <c r="B4" s="190" t="s">
        <v>229</v>
      </c>
      <c r="C4" s="186" t="s">
        <v>156</v>
      </c>
      <c r="D4" s="187">
        <v>912100</v>
      </c>
      <c r="E4" s="191">
        <v>7.6499999999999999E-2</v>
      </c>
      <c r="F4" s="225"/>
      <c r="G4" s="226"/>
      <c r="H4" s="233"/>
      <c r="I4" s="244" t="s">
        <v>197</v>
      </c>
      <c r="J4" s="224"/>
      <c r="K4" s="204" t="s">
        <v>197</v>
      </c>
    </row>
    <row r="5" spans="1:11" x14ac:dyDescent="0.2">
      <c r="A5" s="189">
        <v>15</v>
      </c>
      <c r="B5" s="190" t="s">
        <v>230</v>
      </c>
      <c r="C5" s="229"/>
      <c r="D5" s="190">
        <v>915900</v>
      </c>
      <c r="E5" s="191">
        <v>7.6499999999999999E-2</v>
      </c>
      <c r="F5" s="225"/>
      <c r="G5" s="226"/>
      <c r="H5" s="233"/>
      <c r="I5" s="245" t="s">
        <v>199</v>
      </c>
      <c r="J5" s="224"/>
      <c r="K5" s="204" t="s">
        <v>197</v>
      </c>
    </row>
    <row r="6" spans="1:11" x14ac:dyDescent="0.2">
      <c r="A6" s="189">
        <v>18</v>
      </c>
      <c r="B6" s="190" t="s">
        <v>231</v>
      </c>
      <c r="C6" s="229"/>
      <c r="D6" s="190">
        <v>915900</v>
      </c>
      <c r="E6" s="191">
        <v>7.6499999999999999E-2</v>
      </c>
      <c r="F6" s="225"/>
      <c r="G6" s="226"/>
      <c r="H6" s="233"/>
      <c r="I6" s="245" t="s">
        <v>199</v>
      </c>
      <c r="J6" s="224"/>
      <c r="K6" s="204" t="s">
        <v>197</v>
      </c>
    </row>
    <row r="7" spans="1:11" x14ac:dyDescent="0.2">
      <c r="A7" s="189">
        <v>19</v>
      </c>
      <c r="B7" s="190" t="s">
        <v>232</v>
      </c>
      <c r="C7" s="229"/>
      <c r="D7" s="190">
        <v>915900</v>
      </c>
      <c r="E7" s="191">
        <v>7.6499999999999999E-2</v>
      </c>
      <c r="F7" s="225"/>
      <c r="G7" s="226"/>
      <c r="H7" s="233"/>
      <c r="I7" s="245" t="s">
        <v>199</v>
      </c>
      <c r="J7" s="224"/>
      <c r="K7" s="204" t="s">
        <v>197</v>
      </c>
    </row>
    <row r="8" spans="1:11" x14ac:dyDescent="0.2">
      <c r="A8" s="189">
        <v>20</v>
      </c>
      <c r="B8" s="190" t="s">
        <v>233</v>
      </c>
      <c r="C8" s="186" t="s">
        <v>155</v>
      </c>
      <c r="D8" s="190">
        <v>911100</v>
      </c>
      <c r="E8" s="191">
        <v>7.6499999999999999E-2</v>
      </c>
      <c r="F8" s="225"/>
      <c r="G8" s="191">
        <v>0.1303</v>
      </c>
      <c r="H8" s="210">
        <v>5659</v>
      </c>
      <c r="I8" s="244" t="s">
        <v>197</v>
      </c>
      <c r="J8" s="224"/>
      <c r="K8" s="204" t="s">
        <v>197</v>
      </c>
    </row>
    <row r="9" spans="1:11" x14ac:dyDescent="0.2">
      <c r="A9" s="189">
        <v>20</v>
      </c>
      <c r="B9" s="190" t="s">
        <v>234</v>
      </c>
      <c r="C9" s="186" t="s">
        <v>156</v>
      </c>
      <c r="D9" s="190">
        <v>911100</v>
      </c>
      <c r="E9" s="191">
        <v>7.6499999999999999E-2</v>
      </c>
      <c r="F9" s="225"/>
      <c r="G9" s="225"/>
      <c r="H9" s="233"/>
      <c r="I9" s="244" t="s">
        <v>197</v>
      </c>
      <c r="J9" s="224"/>
      <c r="K9" s="204" t="s">
        <v>197</v>
      </c>
    </row>
    <row r="10" spans="1:11" x14ac:dyDescent="0.2">
      <c r="A10" s="189">
        <v>30</v>
      </c>
      <c r="B10" s="190" t="s">
        <v>235</v>
      </c>
      <c r="C10" s="189">
        <v>1</v>
      </c>
      <c r="D10" s="190">
        <v>913100</v>
      </c>
      <c r="E10" s="191">
        <v>7.6499999999999999E-2</v>
      </c>
      <c r="F10" s="225"/>
      <c r="G10" s="191">
        <v>0.1303</v>
      </c>
      <c r="H10" s="210">
        <v>5659</v>
      </c>
      <c r="I10" s="244" t="s">
        <v>197</v>
      </c>
      <c r="J10" s="224"/>
      <c r="K10" s="204" t="s">
        <v>197</v>
      </c>
    </row>
    <row r="11" spans="1:11" x14ac:dyDescent="0.2">
      <c r="A11" s="189">
        <v>32</v>
      </c>
      <c r="B11" s="190" t="s">
        <v>236</v>
      </c>
      <c r="C11" s="189">
        <v>1</v>
      </c>
      <c r="D11" s="190">
        <v>913100</v>
      </c>
      <c r="E11" s="191">
        <v>7.6499999999999999E-2</v>
      </c>
      <c r="F11" s="226"/>
      <c r="G11" s="191">
        <v>0.1303</v>
      </c>
      <c r="H11" s="210">
        <v>5659</v>
      </c>
      <c r="I11" s="244" t="s">
        <v>197</v>
      </c>
      <c r="J11" s="224"/>
      <c r="K11" s="204" t="s">
        <v>197</v>
      </c>
    </row>
    <row r="12" spans="1:11" x14ac:dyDescent="0.2">
      <c r="A12" s="189">
        <v>36</v>
      </c>
      <c r="B12" s="190" t="s">
        <v>237</v>
      </c>
      <c r="C12" s="189">
        <v>1</v>
      </c>
      <c r="D12" s="190">
        <v>913100</v>
      </c>
      <c r="E12" s="191">
        <v>7.6499999999999999E-2</v>
      </c>
      <c r="F12" s="226"/>
      <c r="G12" s="191">
        <v>0.1303</v>
      </c>
      <c r="H12" s="210">
        <v>5659</v>
      </c>
      <c r="I12" s="244" t="s">
        <v>197</v>
      </c>
      <c r="J12" s="224"/>
      <c r="K12" s="204" t="s">
        <v>197</v>
      </c>
    </row>
    <row r="13" spans="1:11" x14ac:dyDescent="0.2">
      <c r="A13" s="189">
        <v>40</v>
      </c>
      <c r="B13" s="190" t="s">
        <v>238</v>
      </c>
      <c r="C13" s="238"/>
      <c r="D13" s="190">
        <v>911200</v>
      </c>
      <c r="E13" s="191">
        <v>7.6499999999999999E-2</v>
      </c>
      <c r="F13" s="225"/>
      <c r="G13" s="231"/>
      <c r="H13" s="233" t="s">
        <v>217</v>
      </c>
      <c r="I13" s="245" t="s">
        <v>199</v>
      </c>
      <c r="J13" s="224"/>
      <c r="K13" s="204" t="s">
        <v>197</v>
      </c>
    </row>
    <row r="14" spans="1:11" x14ac:dyDescent="0.2">
      <c r="A14" s="189">
        <v>50</v>
      </c>
      <c r="B14" s="190" t="s">
        <v>239</v>
      </c>
      <c r="C14" s="238"/>
      <c r="D14" s="190">
        <v>911200</v>
      </c>
      <c r="E14" s="191">
        <v>7.6499999999999999E-2</v>
      </c>
      <c r="F14" s="228"/>
      <c r="G14" s="231"/>
      <c r="H14" s="232"/>
      <c r="I14" s="245" t="s">
        <v>199</v>
      </c>
      <c r="J14" s="224"/>
      <c r="K14" s="204" t="s">
        <v>197</v>
      </c>
    </row>
    <row r="15" spans="1:11" x14ac:dyDescent="0.2">
      <c r="A15" s="189">
        <v>45</v>
      </c>
      <c r="B15" s="190" t="s">
        <v>240</v>
      </c>
      <c r="C15" s="238"/>
      <c r="D15" s="190">
        <v>911300</v>
      </c>
      <c r="E15" s="191">
        <v>7.6499999999999999E-2</v>
      </c>
      <c r="F15" s="228"/>
      <c r="G15" s="231"/>
      <c r="H15" s="232"/>
      <c r="I15" s="245" t="s">
        <v>199</v>
      </c>
      <c r="J15" s="224"/>
      <c r="K15" s="204" t="s">
        <v>197</v>
      </c>
    </row>
    <row r="16" spans="1:11" x14ac:dyDescent="0.2">
      <c r="A16" s="189">
        <v>45</v>
      </c>
      <c r="B16" s="190" t="s">
        <v>241</v>
      </c>
      <c r="C16" s="238"/>
      <c r="D16" s="190">
        <v>913300</v>
      </c>
      <c r="E16" s="191">
        <v>7.6499999999999999E-2</v>
      </c>
      <c r="F16" s="228"/>
      <c r="G16" s="231"/>
      <c r="H16" s="232"/>
      <c r="I16" s="245" t="s">
        <v>199</v>
      </c>
      <c r="J16" s="224"/>
      <c r="K16" s="204" t="s">
        <v>197</v>
      </c>
    </row>
    <row r="17" spans="1:11" x14ac:dyDescent="0.2">
      <c r="A17" s="189">
        <v>50</v>
      </c>
      <c r="B17" s="190" t="s">
        <v>242</v>
      </c>
      <c r="C17" s="238"/>
      <c r="D17" s="190">
        <v>913200</v>
      </c>
      <c r="E17" s="191">
        <v>7.6499999999999999E-2</v>
      </c>
      <c r="F17" s="228"/>
      <c r="G17" s="231"/>
      <c r="H17" s="232"/>
      <c r="I17" s="245" t="s">
        <v>199</v>
      </c>
      <c r="J17" s="224"/>
      <c r="K17" s="204" t="s">
        <v>197</v>
      </c>
    </row>
    <row r="18" spans="1:11" x14ac:dyDescent="0.2">
      <c r="A18" s="189">
        <v>60</v>
      </c>
      <c r="B18" s="190" t="s">
        <v>161</v>
      </c>
      <c r="C18" s="190" t="s">
        <v>160</v>
      </c>
      <c r="D18" s="190">
        <v>913250</v>
      </c>
      <c r="E18" s="191" t="s">
        <v>174</v>
      </c>
      <c r="F18" s="229"/>
      <c r="G18" s="226"/>
      <c r="H18" s="233"/>
      <c r="I18" s="245" t="s">
        <v>199</v>
      </c>
      <c r="J18" s="236"/>
      <c r="K18" s="225" t="s">
        <v>199</v>
      </c>
    </row>
    <row r="19" spans="1:11" x14ac:dyDescent="0.2">
      <c r="A19" s="189">
        <v>60</v>
      </c>
      <c r="B19" s="190" t="s">
        <v>162</v>
      </c>
      <c r="C19" s="190" t="s">
        <v>160</v>
      </c>
      <c r="D19" s="190">
        <v>911250</v>
      </c>
      <c r="E19" s="191" t="s">
        <v>174</v>
      </c>
      <c r="F19" s="229"/>
      <c r="G19" s="226"/>
      <c r="H19" s="233"/>
      <c r="I19" s="245" t="s">
        <v>199</v>
      </c>
      <c r="J19" s="236"/>
      <c r="K19" s="225" t="s">
        <v>199</v>
      </c>
    </row>
    <row r="20" spans="1:11" x14ac:dyDescent="0.2">
      <c r="A20" s="189">
        <v>60</v>
      </c>
      <c r="B20" s="190" t="s">
        <v>163</v>
      </c>
      <c r="C20" s="190" t="s">
        <v>160</v>
      </c>
      <c r="D20" s="190">
        <v>911260</v>
      </c>
      <c r="E20" s="191" t="s">
        <v>174</v>
      </c>
      <c r="F20" s="229"/>
      <c r="G20" s="226"/>
      <c r="H20" s="233"/>
      <c r="I20" s="245" t="s">
        <v>199</v>
      </c>
      <c r="J20" s="236"/>
      <c r="K20" s="225" t="s">
        <v>199</v>
      </c>
    </row>
    <row r="21" spans="1:11" x14ac:dyDescent="0.2">
      <c r="A21" s="189">
        <v>70</v>
      </c>
      <c r="B21" s="190" t="s">
        <v>164</v>
      </c>
      <c r="C21" s="190" t="s">
        <v>165</v>
      </c>
      <c r="D21" s="190">
        <v>915020</v>
      </c>
      <c r="E21" s="204" t="s">
        <v>174</v>
      </c>
      <c r="F21" s="226"/>
      <c r="G21" s="226"/>
      <c r="H21" s="234"/>
      <c r="I21" s="245" t="s">
        <v>199</v>
      </c>
      <c r="J21" s="183"/>
      <c r="K21" s="225" t="s">
        <v>199</v>
      </c>
    </row>
    <row r="22" spans="1:11" x14ac:dyDescent="0.2">
      <c r="A22" s="189">
        <v>72</v>
      </c>
      <c r="B22" s="190" t="s">
        <v>150</v>
      </c>
      <c r="C22" s="190" t="s">
        <v>165</v>
      </c>
      <c r="D22" s="190">
        <v>915020</v>
      </c>
      <c r="E22" s="204" t="s">
        <v>174</v>
      </c>
      <c r="F22" s="226"/>
      <c r="G22" s="226"/>
      <c r="H22" s="234"/>
      <c r="I22" s="245" t="s">
        <v>199</v>
      </c>
      <c r="J22" s="183"/>
      <c r="K22" s="225" t="s">
        <v>199</v>
      </c>
    </row>
    <row r="23" spans="1:11" x14ac:dyDescent="0.2">
      <c r="A23" s="189">
        <v>75</v>
      </c>
      <c r="B23" s="190" t="s">
        <v>152</v>
      </c>
      <c r="C23" s="190" t="s">
        <v>165</v>
      </c>
      <c r="D23" s="190">
        <v>915020</v>
      </c>
      <c r="E23" s="204" t="s">
        <v>174</v>
      </c>
      <c r="F23" s="226"/>
      <c r="G23" s="226"/>
      <c r="H23" s="234"/>
      <c r="I23" s="245" t="s">
        <v>199</v>
      </c>
      <c r="J23" s="183"/>
      <c r="K23" s="225" t="s">
        <v>199</v>
      </c>
    </row>
    <row r="24" spans="1:11" x14ac:dyDescent="0.2">
      <c r="A24" s="189" t="s">
        <v>172</v>
      </c>
      <c r="B24" s="190" t="s">
        <v>173</v>
      </c>
      <c r="C24" s="190" t="s">
        <v>170</v>
      </c>
      <c r="D24" s="203" t="s">
        <v>171</v>
      </c>
      <c r="E24" s="206" t="s">
        <v>174</v>
      </c>
      <c r="F24" s="230"/>
      <c r="G24" s="230"/>
      <c r="H24" s="235"/>
      <c r="I24" s="245" t="s">
        <v>199</v>
      </c>
      <c r="J24" s="183"/>
      <c r="K24" s="225" t="s">
        <v>199</v>
      </c>
    </row>
    <row r="25" spans="1:11" x14ac:dyDescent="0.2">
      <c r="H25" s="183"/>
      <c r="I25" s="183"/>
      <c r="J25" s="183"/>
    </row>
    <row r="26" spans="1:11" x14ac:dyDescent="0.2">
      <c r="A26" s="202" t="s">
        <v>167</v>
      </c>
      <c r="B26" s="182" t="s">
        <v>243</v>
      </c>
      <c r="H26" s="183"/>
      <c r="I26" s="183"/>
      <c r="J26" s="183"/>
    </row>
    <row r="27" spans="1:11" x14ac:dyDescent="0.2">
      <c r="A27" s="202" t="s">
        <v>168</v>
      </c>
      <c r="B27" s="182" t="s">
        <v>169</v>
      </c>
      <c r="H27" s="183"/>
      <c r="I27" s="183"/>
      <c r="J27" s="183"/>
    </row>
    <row r="30" spans="1:11" ht="13.2" x14ac:dyDescent="0.2">
      <c r="B30" s="258"/>
    </row>
    <row r="31" spans="1:11" ht="13.2" x14ac:dyDescent="0.25">
      <c r="B31"/>
    </row>
    <row r="32" spans="1:11" ht="13.2" x14ac:dyDescent="0.2">
      <c r="B32" s="258"/>
    </row>
    <row r="33" spans="2:2" ht="13.2" x14ac:dyDescent="0.25">
      <c r="B33"/>
    </row>
    <row r="34" spans="2:2" ht="13.2" x14ac:dyDescent="0.2">
      <c r="B34" s="258"/>
    </row>
    <row r="35" spans="2:2" ht="13.2" x14ac:dyDescent="0.25">
      <c r="B35"/>
    </row>
    <row r="36" spans="2:2" ht="13.2" x14ac:dyDescent="0.2">
      <c r="B36" s="258"/>
    </row>
    <row r="37" spans="2:2" ht="13.2" x14ac:dyDescent="0.25">
      <c r="B37"/>
    </row>
    <row r="38" spans="2:2" ht="13.2" x14ac:dyDescent="0.2">
      <c r="B38" s="258"/>
    </row>
  </sheetData>
  <mergeCells count="1">
    <mergeCell ref="E1:H1"/>
  </mergeCells>
  <pageMargins left="0.7" right="0.7" top="0.75" bottom="0.75" header="0.3" footer="0.3"/>
  <pageSetup scale="85" orientation="landscape" r:id="rId1"/>
  <headerFooter>
    <oddFooter>&amp;L&amp;Z&amp;F&amp;RPage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33CC33"/>
  </sheetPr>
  <dimension ref="A1:L34"/>
  <sheetViews>
    <sheetView topLeftCell="A4" workbookViewId="0">
      <selection activeCell="A29" sqref="A29"/>
    </sheetView>
  </sheetViews>
  <sheetFormatPr defaultColWidth="9.109375" defaultRowHeight="11.4" x14ac:dyDescent="0.2"/>
  <cols>
    <col min="1" max="1" width="55.109375" style="32" customWidth="1"/>
    <col min="2" max="2" width="9.44140625" style="32" customWidth="1"/>
    <col min="3" max="3" width="9.88671875" style="32" customWidth="1"/>
    <col min="4" max="4" width="3.44140625" style="32" customWidth="1"/>
    <col min="5" max="5" width="1.5546875" style="32" customWidth="1"/>
    <col min="6" max="6" width="45.44140625" style="32" customWidth="1"/>
    <col min="7" max="7" width="9" style="32" customWidth="1"/>
    <col min="8" max="8" width="9.88671875" style="32" customWidth="1"/>
    <col min="9" max="9" width="3.109375" style="32" customWidth="1"/>
    <col min="10" max="16384" width="9.109375" style="32"/>
  </cols>
  <sheetData>
    <row r="1" spans="1:12" ht="17.399999999999999" x14ac:dyDescent="0.3">
      <c r="A1" s="78" t="s">
        <v>308</v>
      </c>
    </row>
    <row r="3" spans="1:12" ht="30" customHeight="1" x14ac:dyDescent="0.3">
      <c r="A3" s="332" t="s">
        <v>20</v>
      </c>
      <c r="F3" s="332" t="s">
        <v>21</v>
      </c>
    </row>
    <row r="4" spans="1:12" ht="12" x14ac:dyDescent="0.25">
      <c r="A4" s="34"/>
      <c r="B4" s="35" t="s">
        <v>220</v>
      </c>
      <c r="C4" s="36" t="s">
        <v>222</v>
      </c>
      <c r="F4" s="34"/>
      <c r="G4" s="35" t="s">
        <v>220</v>
      </c>
      <c r="H4" s="36" t="s">
        <v>222</v>
      </c>
    </row>
    <row r="5" spans="1:12" x14ac:dyDescent="0.2">
      <c r="A5" s="37" t="s">
        <v>72</v>
      </c>
      <c r="B5" s="38">
        <v>100000</v>
      </c>
      <c r="C5" s="39">
        <v>100000</v>
      </c>
      <c r="F5" s="37" t="s">
        <v>73</v>
      </c>
      <c r="G5" s="38">
        <v>50000</v>
      </c>
      <c r="H5" s="39">
        <v>50000</v>
      </c>
    </row>
    <row r="6" spans="1:12" x14ac:dyDescent="0.2">
      <c r="A6" s="37" t="s">
        <v>310</v>
      </c>
      <c r="B6" s="40">
        <f>-C22</f>
        <v>-7019</v>
      </c>
      <c r="C6" s="41">
        <f>-C22</f>
        <v>-7019</v>
      </c>
      <c r="F6" s="37" t="str">
        <f>A10</f>
        <v>FICA (Salary X .0765)</v>
      </c>
      <c r="G6" s="38">
        <f>G5*C18</f>
        <v>3825</v>
      </c>
      <c r="H6" s="39">
        <f>H5*C18</f>
        <v>3825</v>
      </c>
    </row>
    <row r="7" spans="1:12" x14ac:dyDescent="0.2">
      <c r="A7" s="37" t="s">
        <v>12</v>
      </c>
      <c r="B7" s="38">
        <f>SUM(B5:B6)</f>
        <v>92981</v>
      </c>
      <c r="C7" s="39">
        <f>SUM(C5:C6)</f>
        <v>92981</v>
      </c>
      <c r="F7" s="37" t="str">
        <f>A11</f>
        <v>Retirement (Salary x .2168 for SHRA or .1361 for EHRA)</v>
      </c>
      <c r="G7" s="38">
        <f>G5*C19</f>
        <v>11445</v>
      </c>
      <c r="H7" s="39">
        <f>H5*C20</f>
        <v>6610.0000000000009</v>
      </c>
    </row>
    <row r="8" spans="1:12" x14ac:dyDescent="0.2">
      <c r="A8" s="37"/>
      <c r="B8" s="38"/>
      <c r="C8" s="39"/>
      <c r="F8" s="37" t="s">
        <v>0</v>
      </c>
      <c r="G8" s="40">
        <f>C22</f>
        <v>7019</v>
      </c>
      <c r="H8" s="41">
        <f>C22</f>
        <v>7019</v>
      </c>
    </row>
    <row r="9" spans="1:12" x14ac:dyDescent="0.2">
      <c r="A9" s="37" t="s">
        <v>76</v>
      </c>
      <c r="B9" s="38">
        <f>B7/(1+C18+C19)</f>
        <v>71227.976099279913</v>
      </c>
      <c r="C9" s="39">
        <f>C7/(1+C18+C20)</f>
        <v>76926.449904856447</v>
      </c>
      <c r="F9" s="37"/>
      <c r="G9" s="38"/>
      <c r="H9" s="39"/>
    </row>
    <row r="10" spans="1:12" ht="12" x14ac:dyDescent="0.25">
      <c r="A10" s="37" t="s">
        <v>77</v>
      </c>
      <c r="B10" s="38">
        <f>B9*C18</f>
        <v>5448.9401715949134</v>
      </c>
      <c r="C10" s="39">
        <f>C9*C18</f>
        <v>5884.8734177215183</v>
      </c>
      <c r="F10" s="328" t="s">
        <v>90</v>
      </c>
      <c r="G10" s="329">
        <f>SUM(G5:G8)</f>
        <v>72289</v>
      </c>
      <c r="H10" s="330">
        <f>SUM(H5:H8)</f>
        <v>67454</v>
      </c>
    </row>
    <row r="11" spans="1:12" x14ac:dyDescent="0.2">
      <c r="A11" s="37" t="s">
        <v>321</v>
      </c>
      <c r="B11" s="38">
        <f>B9*C19</f>
        <v>16304.083729125172</v>
      </c>
      <c r="C11" s="39">
        <f>C9*C20</f>
        <v>10169.676677422023</v>
      </c>
      <c r="F11" s="37"/>
      <c r="H11" s="42"/>
    </row>
    <row r="12" spans="1:12" x14ac:dyDescent="0.2">
      <c r="A12" s="37" t="s">
        <v>0</v>
      </c>
      <c r="B12" s="40">
        <f>C22</f>
        <v>7019</v>
      </c>
      <c r="C12" s="41">
        <f>C22</f>
        <v>7019</v>
      </c>
      <c r="F12" s="37"/>
      <c r="H12" s="42"/>
    </row>
    <row r="13" spans="1:12" x14ac:dyDescent="0.2">
      <c r="A13" s="43" t="s">
        <v>13</v>
      </c>
      <c r="B13" s="44">
        <f>SUM(B9:B12)</f>
        <v>99999.999999999985</v>
      </c>
      <c r="C13" s="45">
        <f>SUM(C9:C12)</f>
        <v>100000</v>
      </c>
      <c r="F13" s="43"/>
      <c r="G13" s="46"/>
      <c r="H13" s="47"/>
    </row>
    <row r="14" spans="1:12" x14ac:dyDescent="0.2">
      <c r="L14" s="260"/>
    </row>
    <row r="15" spans="1:12" ht="13.2" x14ac:dyDescent="0.25">
      <c r="A15" s="219" t="s">
        <v>312</v>
      </c>
      <c r="B15" s="166"/>
      <c r="C15" s="167"/>
      <c r="F15" s="106" t="s">
        <v>93</v>
      </c>
      <c r="G15"/>
      <c r="H15"/>
    </row>
    <row r="16" spans="1:12" ht="12" x14ac:dyDescent="0.25">
      <c r="A16" s="168"/>
      <c r="B16" s="169"/>
      <c r="C16" s="170"/>
      <c r="F16" s="34"/>
      <c r="G16" s="35" t="s">
        <v>220</v>
      </c>
      <c r="H16" s="36" t="s">
        <v>222</v>
      </c>
      <c r="L16" s="260"/>
    </row>
    <row r="17" spans="1:8" ht="12" x14ac:dyDescent="0.25">
      <c r="A17" s="171" t="s">
        <v>1</v>
      </c>
      <c r="B17" s="172" t="s">
        <v>2</v>
      </c>
      <c r="C17" s="173" t="s">
        <v>3</v>
      </c>
      <c r="F17" s="37" t="s">
        <v>73</v>
      </c>
      <c r="G17" s="38">
        <v>50000</v>
      </c>
      <c r="H17" s="107">
        <v>50000</v>
      </c>
    </row>
    <row r="18" spans="1:8" x14ac:dyDescent="0.2">
      <c r="A18" s="174" t="s">
        <v>4</v>
      </c>
      <c r="B18" s="175">
        <v>919150</v>
      </c>
      <c r="C18" s="176">
        <v>7.6499999999999999E-2</v>
      </c>
      <c r="F18" s="37" t="str">
        <f>A10</f>
        <v>FICA (Salary X .0765)</v>
      </c>
      <c r="G18" s="38">
        <f>G17*C18</f>
        <v>3825</v>
      </c>
      <c r="H18" s="107">
        <f>H17*C18</f>
        <v>3825</v>
      </c>
    </row>
    <row r="19" spans="1:8" x14ac:dyDescent="0.2">
      <c r="A19" s="174" t="s">
        <v>57</v>
      </c>
      <c r="B19" s="175">
        <v>919050</v>
      </c>
      <c r="C19" s="176">
        <f>'FY 21-22 Fringes'!G3</f>
        <v>0.22889999999999999</v>
      </c>
      <c r="F19" s="37" t="s">
        <v>322</v>
      </c>
      <c r="G19" s="38">
        <f>G17*C21</f>
        <v>13944.999999999998</v>
      </c>
      <c r="H19" s="107">
        <f>H17*C21</f>
        <v>13944.999999999998</v>
      </c>
    </row>
    <row r="20" spans="1:8" x14ac:dyDescent="0.2">
      <c r="A20" s="174" t="s">
        <v>7</v>
      </c>
      <c r="B20" s="175">
        <v>918000</v>
      </c>
      <c r="C20" s="176">
        <f>'FY 21-22 Fringes'!H9</f>
        <v>0.13220000000000001</v>
      </c>
      <c r="F20" s="37" t="s">
        <v>0</v>
      </c>
      <c r="G20" s="40">
        <f>C22</f>
        <v>7019</v>
      </c>
      <c r="H20" s="100">
        <f>C22</f>
        <v>7019</v>
      </c>
    </row>
    <row r="21" spans="1:8" x14ac:dyDescent="0.2">
      <c r="A21" s="174" t="s">
        <v>86</v>
      </c>
      <c r="B21" s="175">
        <v>919100</v>
      </c>
      <c r="C21" s="176">
        <f>C19+0.05</f>
        <v>0.27889999999999998</v>
      </c>
      <c r="F21" s="37" t="s">
        <v>95</v>
      </c>
      <c r="G21" s="38">
        <f>SUM(G17:G20)</f>
        <v>74789</v>
      </c>
      <c r="H21" s="107">
        <f>SUM(H17:H20)</f>
        <v>74789</v>
      </c>
    </row>
    <row r="22" spans="1:8" x14ac:dyDescent="0.2">
      <c r="A22" s="88" t="s">
        <v>246</v>
      </c>
      <c r="B22" s="175">
        <v>917000</v>
      </c>
      <c r="C22" s="89">
        <f>'FY 21-22 Fringes'!I9</f>
        <v>7019</v>
      </c>
      <c r="D22" s="32" t="s">
        <v>22</v>
      </c>
      <c r="F22" s="37"/>
      <c r="G22" s="38"/>
      <c r="H22" s="42"/>
    </row>
    <row r="23" spans="1:8" x14ac:dyDescent="0.2">
      <c r="A23" s="174"/>
      <c r="B23" s="169"/>
      <c r="C23" s="170"/>
      <c r="F23" s="153"/>
      <c r="G23" s="154"/>
      <c r="H23" s="155"/>
    </row>
    <row r="24" spans="1:8" x14ac:dyDescent="0.2">
      <c r="A24" s="174" t="s">
        <v>221</v>
      </c>
      <c r="B24" s="178">
        <f>SUM(C18+C19)</f>
        <v>0.3054</v>
      </c>
      <c r="C24" s="170"/>
      <c r="F24" s="37" t="s">
        <v>72</v>
      </c>
      <c r="G24" s="38">
        <v>50000</v>
      </c>
      <c r="H24" s="39">
        <v>50000</v>
      </c>
    </row>
    <row r="25" spans="1:8" x14ac:dyDescent="0.2">
      <c r="A25" s="174" t="s">
        <v>223</v>
      </c>
      <c r="B25" s="178">
        <f>C18+C20</f>
        <v>0.2087</v>
      </c>
      <c r="C25" s="170"/>
      <c r="F25" s="37" t="s">
        <v>306</v>
      </c>
      <c r="G25" s="40">
        <f>-C22</f>
        <v>-7019</v>
      </c>
      <c r="H25" s="41">
        <f>-C22</f>
        <v>-7019</v>
      </c>
    </row>
    <row r="26" spans="1:8" x14ac:dyDescent="0.2">
      <c r="A26" s="179" t="s">
        <v>185</v>
      </c>
      <c r="B26" s="180">
        <f>SUM(C18+C21)</f>
        <v>0.35539999999999999</v>
      </c>
      <c r="C26" s="181"/>
      <c r="F26" s="37" t="s">
        <v>12</v>
      </c>
      <c r="G26" s="38">
        <f>SUM(G24:G25)</f>
        <v>42981</v>
      </c>
      <c r="H26" s="39">
        <f>SUM(H24:H25)</f>
        <v>42981</v>
      </c>
    </row>
    <row r="27" spans="1:8" x14ac:dyDescent="0.2">
      <c r="F27" s="37"/>
      <c r="G27" s="38"/>
      <c r="H27" s="42"/>
    </row>
    <row r="28" spans="1:8" x14ac:dyDescent="0.2">
      <c r="A28" s="32" t="s">
        <v>325</v>
      </c>
      <c r="F28" s="37" t="s">
        <v>76</v>
      </c>
      <c r="G28" s="38">
        <f>G26/(1+C18+C21)</f>
        <v>31710.934041611334</v>
      </c>
      <c r="H28" s="39">
        <f>H26/(1+C18+C21)</f>
        <v>31710.934041611334</v>
      </c>
    </row>
    <row r="29" spans="1:8" x14ac:dyDescent="0.2">
      <c r="F29" s="37" t="str">
        <f>A10</f>
        <v>FICA (Salary X .0765)</v>
      </c>
      <c r="G29" s="38">
        <f>G28*C18</f>
        <v>2425.8864541832668</v>
      </c>
      <c r="H29" s="39">
        <f>H28*C18</f>
        <v>2425.8864541832668</v>
      </c>
    </row>
    <row r="30" spans="1:8" x14ac:dyDescent="0.2">
      <c r="A30" s="32" t="s">
        <v>218</v>
      </c>
      <c r="F30" s="37" t="str">
        <f>F19</f>
        <v>LEO Retirement (Salary x .2668 for both EHRA &amp; SHRA)</v>
      </c>
      <c r="G30" s="38">
        <f>G28*C21</f>
        <v>8844.1795042054</v>
      </c>
      <c r="H30" s="39">
        <f>H28*C21</f>
        <v>8844.1795042054</v>
      </c>
    </row>
    <row r="31" spans="1:8" x14ac:dyDescent="0.2">
      <c r="F31" s="37" t="s">
        <v>0</v>
      </c>
      <c r="G31" s="40">
        <f>C22</f>
        <v>7019</v>
      </c>
      <c r="H31" s="218">
        <f>C22</f>
        <v>7019</v>
      </c>
    </row>
    <row r="32" spans="1:8" ht="26.4" x14ac:dyDescent="0.25">
      <c r="A32" s="259" t="s">
        <v>219</v>
      </c>
      <c r="F32" s="43" t="s">
        <v>13</v>
      </c>
      <c r="G32" s="44">
        <f>SUM(G28:G31)</f>
        <v>50000</v>
      </c>
      <c r="H32" s="45">
        <f>SUM(H28:H31)</f>
        <v>50000</v>
      </c>
    </row>
    <row r="33" spans="1:8" x14ac:dyDescent="0.2">
      <c r="H33" s="157"/>
    </row>
    <row r="34" spans="1:8" ht="13.2" x14ac:dyDescent="0.25">
      <c r="A34" s="324"/>
    </row>
  </sheetData>
  <hyperlinks>
    <hyperlink ref="A32" r:id="rId1" xr:uid="{A1C37073-4C39-4C67-A306-F13A4B5C030E}"/>
  </hyperlinks>
  <pageMargins left="0.75" right="0.75" top="1" bottom="1" header="0.5" footer="0.5"/>
  <pageSetup scale="85" orientation="landscape" cellComments="asDisplayed" r:id="rId2"/>
  <headerFooter alignWithMargins="0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theme="9" tint="0.39997558519241921"/>
  </sheetPr>
  <dimension ref="A1:G33"/>
  <sheetViews>
    <sheetView workbookViewId="0">
      <selection activeCell="A29" sqref="A29"/>
    </sheetView>
  </sheetViews>
  <sheetFormatPr defaultColWidth="9.109375" defaultRowHeight="11.4" x14ac:dyDescent="0.2"/>
  <cols>
    <col min="1" max="1" width="55.5546875" style="32" customWidth="1"/>
    <col min="2" max="2" width="9.5546875" style="32" bestFit="1" customWidth="1"/>
    <col min="3" max="3" width="9" style="32" bestFit="1" customWidth="1"/>
    <col min="4" max="4" width="3.44140625" style="32" customWidth="1"/>
    <col min="5" max="5" width="53.44140625" style="32" customWidth="1"/>
    <col min="6" max="6" width="9.88671875" style="32" customWidth="1"/>
    <col min="7" max="7" width="9.5546875" style="32" customWidth="1"/>
    <col min="8" max="16384" width="9.109375" style="32"/>
  </cols>
  <sheetData>
    <row r="1" spans="1:7" ht="17.399999999999999" x14ac:dyDescent="0.3">
      <c r="A1" s="78" t="s">
        <v>324</v>
      </c>
    </row>
    <row r="3" spans="1:7" x14ac:dyDescent="0.2">
      <c r="A3" s="33"/>
    </row>
    <row r="4" spans="1:7" ht="15.6" x14ac:dyDescent="0.3">
      <c r="A4" s="331" t="s">
        <v>20</v>
      </c>
      <c r="B4" s="120"/>
      <c r="C4" s="120"/>
      <c r="E4" s="332" t="s">
        <v>21</v>
      </c>
    </row>
    <row r="5" spans="1:7" ht="12" x14ac:dyDescent="0.25">
      <c r="A5" s="122"/>
      <c r="B5" s="123" t="s">
        <v>220</v>
      </c>
      <c r="C5" s="124" t="s">
        <v>222</v>
      </c>
      <c r="E5" s="34"/>
      <c r="F5" s="35" t="s">
        <v>220</v>
      </c>
      <c r="G5" s="36" t="s">
        <v>222</v>
      </c>
    </row>
    <row r="6" spans="1:7" ht="12" x14ac:dyDescent="0.25">
      <c r="A6" s="125" t="s">
        <v>326</v>
      </c>
      <c r="B6" s="126">
        <v>100000</v>
      </c>
      <c r="C6" s="127">
        <v>100000</v>
      </c>
      <c r="E6" s="37" t="s">
        <v>327</v>
      </c>
      <c r="F6" s="38">
        <v>100000</v>
      </c>
      <c r="G6" s="39">
        <v>100000</v>
      </c>
    </row>
    <row r="7" spans="1:7" x14ac:dyDescent="0.2">
      <c r="A7" s="125" t="str">
        <f>' FY 20-21 GF Calculator '!A6</f>
        <v>Take out the Medical (Flat amount for FY 20-21)</v>
      </c>
      <c r="B7" s="128">
        <f>-C24</f>
        <v>-7019</v>
      </c>
      <c r="C7" s="129">
        <f>-C24</f>
        <v>-7019</v>
      </c>
      <c r="E7" s="125" t="s">
        <v>102</v>
      </c>
      <c r="F7" s="38">
        <f>F6*C20</f>
        <v>7650</v>
      </c>
      <c r="G7" s="39">
        <f>G6*C20</f>
        <v>7650</v>
      </c>
    </row>
    <row r="8" spans="1:7" x14ac:dyDescent="0.2">
      <c r="A8" s="125" t="s">
        <v>12</v>
      </c>
      <c r="B8" s="126">
        <f>SUM(B6:B7)</f>
        <v>92981</v>
      </c>
      <c r="C8" s="127">
        <f>SUM(C6:C7)</f>
        <v>92981</v>
      </c>
      <c r="E8" s="37" t="str">
        <f>A12</f>
        <v>Retirement (Salary x .2168 for SHRA or .1361 for EHRA)</v>
      </c>
      <c r="F8" s="38">
        <f>F6*C21</f>
        <v>22890</v>
      </c>
      <c r="G8" s="39">
        <f>G6*C22</f>
        <v>13220.000000000002</v>
      </c>
    </row>
    <row r="9" spans="1:7" x14ac:dyDescent="0.2">
      <c r="A9" s="125"/>
      <c r="B9" s="126"/>
      <c r="C9" s="127"/>
      <c r="E9" s="125" t="s">
        <v>320</v>
      </c>
      <c r="F9" s="38">
        <f>F6*C25</f>
        <v>5030</v>
      </c>
      <c r="G9" s="39">
        <f>G6*C25</f>
        <v>5030</v>
      </c>
    </row>
    <row r="10" spans="1:7" x14ac:dyDescent="0.2">
      <c r="A10" s="125" t="s">
        <v>101</v>
      </c>
      <c r="B10" s="126">
        <f>B8/(1+C20+C21+C25)</f>
        <v>68585.232721103486</v>
      </c>
      <c r="C10" s="127">
        <f>C8/(1+C20+C22+C25)</f>
        <v>73853.057982525803</v>
      </c>
      <c r="E10" s="37" t="s">
        <v>0</v>
      </c>
      <c r="F10" s="40">
        <f>C24</f>
        <v>7019</v>
      </c>
      <c r="G10" s="41">
        <f>C24</f>
        <v>7019</v>
      </c>
    </row>
    <row r="11" spans="1:7" x14ac:dyDescent="0.2">
      <c r="A11" s="125" t="s">
        <v>102</v>
      </c>
      <c r="B11" s="126">
        <f>B10*C20</f>
        <v>5246.7703031644169</v>
      </c>
      <c r="C11" s="127">
        <f>C10*C20</f>
        <v>5649.7589356632234</v>
      </c>
      <c r="E11" s="37"/>
      <c r="F11" s="38"/>
      <c r="G11" s="39"/>
    </row>
    <row r="12" spans="1:7" ht="12" x14ac:dyDescent="0.25">
      <c r="A12" s="37" t="str">
        <f>' FY 20-21 GF Calculator '!A11</f>
        <v>Retirement (Salary x .2168 for SHRA or .1361 for EHRA)</v>
      </c>
      <c r="B12" s="38">
        <f>B10*C21</f>
        <v>15699.159769860587</v>
      </c>
      <c r="C12" s="39">
        <f>C10*C22</f>
        <v>9763.3742652899127</v>
      </c>
      <c r="E12" s="328" t="s">
        <v>90</v>
      </c>
      <c r="F12" s="329">
        <f>SUM(F6:F10)</f>
        <v>142589</v>
      </c>
      <c r="G12" s="330">
        <f>SUM(G6:G10)</f>
        <v>132919</v>
      </c>
    </row>
    <row r="13" spans="1:7" x14ac:dyDescent="0.2">
      <c r="A13" s="125" t="s">
        <v>320</v>
      </c>
      <c r="B13" s="126">
        <f>B10*C25</f>
        <v>3449.8372058715054</v>
      </c>
      <c r="C13" s="127">
        <f>C10*C25</f>
        <v>3714.8088165210479</v>
      </c>
      <c r="E13" s="37"/>
      <c r="G13" s="42"/>
    </row>
    <row r="14" spans="1:7" ht="12" x14ac:dyDescent="0.25">
      <c r="A14" s="125" t="s">
        <v>0</v>
      </c>
      <c r="B14" s="128">
        <f>C24</f>
        <v>7019</v>
      </c>
      <c r="C14" s="129">
        <f>C24</f>
        <v>7019</v>
      </c>
      <c r="E14" s="325"/>
      <c r="F14" s="326"/>
      <c r="G14" s="327"/>
    </row>
    <row r="15" spans="1:7" x14ac:dyDescent="0.2">
      <c r="A15" s="130" t="s">
        <v>13</v>
      </c>
      <c r="B15" s="131">
        <f>SUM(B10:B14)</f>
        <v>100000</v>
      </c>
      <c r="C15" s="132">
        <f>SUM(C10:C14)</f>
        <v>99999.999999999985</v>
      </c>
    </row>
    <row r="16" spans="1:7" x14ac:dyDescent="0.2">
      <c r="B16" s="40"/>
    </row>
    <row r="17" spans="1:4" ht="13.2" x14ac:dyDescent="0.25">
      <c r="A17" s="220" t="str">
        <f>' FY 20-21 GF Calculator '!A15</f>
        <v>FY 20-21 BENEFITS RATES (PERMANENT EMPLOYEES)</v>
      </c>
      <c r="B17" s="139"/>
      <c r="C17" s="140"/>
    </row>
    <row r="18" spans="1:4" ht="12" x14ac:dyDescent="0.25">
      <c r="A18" s="141"/>
      <c r="B18" s="142"/>
      <c r="C18" s="143"/>
    </row>
    <row r="19" spans="1:4" ht="12" x14ac:dyDescent="0.25">
      <c r="A19" s="144" t="s">
        <v>1</v>
      </c>
      <c r="B19" s="145" t="s">
        <v>2</v>
      </c>
      <c r="C19" s="146" t="s">
        <v>3</v>
      </c>
    </row>
    <row r="20" spans="1:4" x14ac:dyDescent="0.2">
      <c r="A20" s="147" t="s">
        <v>4</v>
      </c>
      <c r="B20" s="148">
        <v>919150</v>
      </c>
      <c r="C20" s="161">
        <f>' FY 16-17 GF Calculator '!C18</f>
        <v>7.6499999999999999E-2</v>
      </c>
    </row>
    <row r="21" spans="1:4" x14ac:dyDescent="0.2">
      <c r="A21" s="147" t="s">
        <v>57</v>
      </c>
      <c r="B21" s="148">
        <v>919050</v>
      </c>
      <c r="C21" s="161">
        <f>' FY 20-21 GF Calculator '!C19</f>
        <v>0.22889999999999999</v>
      </c>
    </row>
    <row r="22" spans="1:4" x14ac:dyDescent="0.2">
      <c r="A22" s="147" t="s">
        <v>7</v>
      </c>
      <c r="B22" s="148">
        <v>918000</v>
      </c>
      <c r="C22" s="161">
        <f>' FY 20-21 GF Calculator '!C20</f>
        <v>0.13220000000000001</v>
      </c>
    </row>
    <row r="23" spans="1:4" x14ac:dyDescent="0.2">
      <c r="A23" s="147" t="s">
        <v>86</v>
      </c>
      <c r="B23" s="148">
        <v>919100</v>
      </c>
      <c r="C23" s="161">
        <f>' FY 20-21 GF Calculator '!C21</f>
        <v>0.27889999999999998</v>
      </c>
    </row>
    <row r="24" spans="1:4" x14ac:dyDescent="0.2">
      <c r="A24" s="147" t="s">
        <v>6</v>
      </c>
      <c r="B24" s="148">
        <v>917000</v>
      </c>
      <c r="C24" s="112">
        <f>'FY 21-22 Fringes'!I9</f>
        <v>7019</v>
      </c>
      <c r="D24" s="32" t="s">
        <v>22</v>
      </c>
    </row>
    <row r="25" spans="1:4" x14ac:dyDescent="0.2">
      <c r="A25" s="261" t="s">
        <v>226</v>
      </c>
      <c r="B25" s="137">
        <v>919700</v>
      </c>
      <c r="C25" s="162">
        <v>5.0299999999999997E-2</v>
      </c>
    </row>
    <row r="26" spans="1:4" x14ac:dyDescent="0.2">
      <c r="A26" s="147"/>
      <c r="B26" s="148"/>
      <c r="C26" s="152"/>
    </row>
    <row r="27" spans="1:4" x14ac:dyDescent="0.2">
      <c r="A27" s="147" t="s">
        <v>224</v>
      </c>
      <c r="B27" s="163">
        <f>SUM(C20+C21+C25)</f>
        <v>0.35570000000000002</v>
      </c>
      <c r="C27" s="143"/>
    </row>
    <row r="28" spans="1:4" x14ac:dyDescent="0.2">
      <c r="A28" s="150" t="s">
        <v>227</v>
      </c>
      <c r="B28" s="164">
        <f>C20+C22+C25</f>
        <v>0.25900000000000001</v>
      </c>
      <c r="C28" s="151"/>
    </row>
    <row r="30" spans="1:4" x14ac:dyDescent="0.2">
      <c r="A30" s="32" t="str">
        <f>' FY 20-21 GF Calculator '!A28</f>
        <v>Updated:  03/04/21</v>
      </c>
    </row>
    <row r="32" spans="1:4" x14ac:dyDescent="0.2">
      <c r="A32" s="32" t="s">
        <v>218</v>
      </c>
    </row>
    <row r="33" spans="1:1" ht="26.4" x14ac:dyDescent="0.25">
      <c r="A33" s="259" t="s">
        <v>219</v>
      </c>
    </row>
  </sheetData>
  <hyperlinks>
    <hyperlink ref="A33" r:id="rId1" xr:uid="{00000000-0004-0000-0A00-000000000000}"/>
  </hyperlinks>
  <printOptions horizontalCentered="1"/>
  <pageMargins left="0.1" right="0.1" top="1" bottom="1" header="0.5" footer="0.5"/>
  <pageSetup scale="85" orientation="landscape" cellComments="asDisplayed" r:id="rId2"/>
  <headerFooter alignWithMargins="0">
    <oddFooter>&amp;L&amp;Z&amp;F</oddFooter>
  </headerFooter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N2:P6"/>
  <sheetViews>
    <sheetView topLeftCell="A31" workbookViewId="0">
      <selection activeCell="O45" sqref="O45"/>
    </sheetView>
  </sheetViews>
  <sheetFormatPr defaultRowHeight="13.2" x14ac:dyDescent="0.25"/>
  <cols>
    <col min="15" max="15" width="19.44140625" customWidth="1"/>
    <col min="16" max="16" width="14.88671875" customWidth="1"/>
  </cols>
  <sheetData>
    <row r="2" spans="14:16" x14ac:dyDescent="0.25">
      <c r="N2" s="321" t="s">
        <v>318</v>
      </c>
      <c r="O2" s="321" t="s">
        <v>317</v>
      </c>
      <c r="P2" s="321" t="s">
        <v>319</v>
      </c>
    </row>
    <row r="3" spans="14:16" x14ac:dyDescent="0.25">
      <c r="N3" s="321" t="s">
        <v>313</v>
      </c>
      <c r="O3" s="321">
        <v>912100</v>
      </c>
      <c r="P3" s="322">
        <v>0.21440000000000001</v>
      </c>
    </row>
    <row r="4" spans="14:16" x14ac:dyDescent="0.25">
      <c r="N4" s="321" t="s">
        <v>206</v>
      </c>
      <c r="O4" s="321" t="s">
        <v>314</v>
      </c>
      <c r="P4" s="322">
        <v>0.1376</v>
      </c>
    </row>
    <row r="5" spans="14:16" x14ac:dyDescent="0.25">
      <c r="N5" s="321" t="s">
        <v>315</v>
      </c>
      <c r="O5" s="321" t="s">
        <v>316</v>
      </c>
      <c r="P5" s="322">
        <v>0.26440000000000002</v>
      </c>
    </row>
    <row r="6" spans="14:16" x14ac:dyDescent="0.25">
      <c r="N6" s="321" t="s">
        <v>0</v>
      </c>
      <c r="O6" s="321">
        <v>917000</v>
      </c>
      <c r="P6" s="323">
        <v>6647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FA2B4-5630-4A4B-A80F-87D2D2409322}">
  <sheetPr>
    <tabColor theme="7" tint="0.39997558519241921"/>
  </sheetPr>
  <dimension ref="A1:L34"/>
  <sheetViews>
    <sheetView workbookViewId="0">
      <selection activeCell="H18" sqref="H18"/>
    </sheetView>
  </sheetViews>
  <sheetFormatPr defaultColWidth="9.109375" defaultRowHeight="11.4" x14ac:dyDescent="0.2"/>
  <cols>
    <col min="1" max="1" width="55.109375" style="32" customWidth="1"/>
    <col min="2" max="2" width="9.44140625" style="32" customWidth="1"/>
    <col min="3" max="3" width="9.88671875" style="32" customWidth="1"/>
    <col min="4" max="4" width="3.44140625" style="32" customWidth="1"/>
    <col min="5" max="5" width="1.5546875" style="32" customWidth="1"/>
    <col min="6" max="6" width="45.44140625" style="32" customWidth="1"/>
    <col min="7" max="7" width="9" style="32" customWidth="1"/>
    <col min="8" max="8" width="9.88671875" style="32" customWidth="1"/>
    <col min="9" max="9" width="3.109375" style="32" customWidth="1"/>
    <col min="10" max="16384" width="9.109375" style="32"/>
  </cols>
  <sheetData>
    <row r="1" spans="1:12" ht="17.399999999999999" x14ac:dyDescent="0.3">
      <c r="A1" s="78" t="s">
        <v>328</v>
      </c>
    </row>
    <row r="3" spans="1:12" ht="30" customHeight="1" x14ac:dyDescent="0.3">
      <c r="A3" s="332" t="s">
        <v>20</v>
      </c>
      <c r="F3" s="332" t="s">
        <v>21</v>
      </c>
    </row>
    <row r="4" spans="1:12" ht="12" x14ac:dyDescent="0.25">
      <c r="A4" s="34"/>
      <c r="B4" s="35" t="s">
        <v>220</v>
      </c>
      <c r="C4" s="36" t="s">
        <v>222</v>
      </c>
      <c r="F4" s="34"/>
      <c r="G4" s="35" t="s">
        <v>220</v>
      </c>
      <c r="H4" s="36" t="s">
        <v>222</v>
      </c>
    </row>
    <row r="5" spans="1:12" x14ac:dyDescent="0.2">
      <c r="A5" s="37" t="s">
        <v>72</v>
      </c>
      <c r="B5" s="38">
        <v>100000</v>
      </c>
      <c r="C5" s="39">
        <v>100000</v>
      </c>
      <c r="F5" s="37" t="s">
        <v>73</v>
      </c>
      <c r="G5" s="38">
        <v>50000</v>
      </c>
      <c r="H5" s="39">
        <v>50000</v>
      </c>
    </row>
    <row r="6" spans="1:12" x14ac:dyDescent="0.2">
      <c r="A6" s="37" t="s">
        <v>331</v>
      </c>
      <c r="B6" s="40">
        <f>-C22</f>
        <v>-7019</v>
      </c>
      <c r="C6" s="41">
        <f>-C22</f>
        <v>-7019</v>
      </c>
      <c r="F6" s="37" t="str">
        <f>A10</f>
        <v>FICA (Salary X .0765)</v>
      </c>
      <c r="G6" s="38">
        <f>G5*C18</f>
        <v>3825</v>
      </c>
      <c r="H6" s="39">
        <f>H5*C18</f>
        <v>3825</v>
      </c>
    </row>
    <row r="7" spans="1:12" x14ac:dyDescent="0.2">
      <c r="A7" s="37" t="s">
        <v>12</v>
      </c>
      <c r="B7" s="38">
        <f>SUM(B5:B6)</f>
        <v>92981</v>
      </c>
      <c r="C7" s="39">
        <f>SUM(C5:C6)</f>
        <v>92981</v>
      </c>
      <c r="F7" s="37" t="str">
        <f>A11</f>
        <v>Retirement (Salary x .2289 for SHRA or .1322 for EHRA)</v>
      </c>
      <c r="G7" s="38">
        <f>G5*C19</f>
        <v>11445</v>
      </c>
      <c r="H7" s="39">
        <f>H5*C20</f>
        <v>6610.0000000000009</v>
      </c>
    </row>
    <row r="8" spans="1:12" x14ac:dyDescent="0.2">
      <c r="A8" s="37"/>
      <c r="B8" s="38"/>
      <c r="C8" s="39"/>
      <c r="F8" s="37" t="s">
        <v>0</v>
      </c>
      <c r="G8" s="40">
        <f>C22</f>
        <v>7019</v>
      </c>
      <c r="H8" s="41">
        <f>C22</f>
        <v>7019</v>
      </c>
    </row>
    <row r="9" spans="1:12" x14ac:dyDescent="0.2">
      <c r="A9" s="37" t="s">
        <v>76</v>
      </c>
      <c r="B9" s="38">
        <f>B7/(1+C18+C19)</f>
        <v>71227.976099279913</v>
      </c>
      <c r="C9" s="39">
        <f>C7/(1+C18+C20)</f>
        <v>76926.449904856447</v>
      </c>
      <c r="F9" s="37"/>
      <c r="G9" s="38"/>
      <c r="H9" s="39"/>
    </row>
    <row r="10" spans="1:12" ht="12" x14ac:dyDescent="0.25">
      <c r="A10" s="37" t="s">
        <v>77</v>
      </c>
      <c r="B10" s="38">
        <f>B9*C18</f>
        <v>5448.9401715949134</v>
      </c>
      <c r="C10" s="39">
        <f>C9*C18</f>
        <v>5884.8734177215183</v>
      </c>
      <c r="F10" s="328" t="s">
        <v>90</v>
      </c>
      <c r="G10" s="329">
        <f>SUM(G5:G8)</f>
        <v>72289</v>
      </c>
      <c r="H10" s="330">
        <f>SUM(H5:H8)</f>
        <v>67454</v>
      </c>
    </row>
    <row r="11" spans="1:12" x14ac:dyDescent="0.2">
      <c r="A11" s="37" t="s">
        <v>340</v>
      </c>
      <c r="B11" s="38">
        <f>B9*C19</f>
        <v>16304.083729125172</v>
      </c>
      <c r="C11" s="39">
        <f>C9*C20</f>
        <v>10169.676677422023</v>
      </c>
      <c r="F11" s="37"/>
      <c r="H11" s="42"/>
    </row>
    <row r="12" spans="1:12" x14ac:dyDescent="0.2">
      <c r="A12" s="37" t="s">
        <v>0</v>
      </c>
      <c r="B12" s="40">
        <f>C22</f>
        <v>7019</v>
      </c>
      <c r="C12" s="41">
        <f>C22</f>
        <v>7019</v>
      </c>
      <c r="F12" s="37"/>
      <c r="H12" s="42"/>
    </row>
    <row r="13" spans="1:12" x14ac:dyDescent="0.2">
      <c r="A13" s="43" t="s">
        <v>13</v>
      </c>
      <c r="B13" s="44">
        <f>SUM(B9:B12)</f>
        <v>99999.999999999985</v>
      </c>
      <c r="C13" s="45">
        <f>SUM(C9:C12)</f>
        <v>100000</v>
      </c>
      <c r="F13" s="43"/>
      <c r="G13" s="46"/>
      <c r="H13" s="47"/>
    </row>
    <row r="14" spans="1:12" x14ac:dyDescent="0.2">
      <c r="L14" s="260"/>
    </row>
    <row r="15" spans="1:12" ht="13.2" x14ac:dyDescent="0.25">
      <c r="A15" s="219" t="s">
        <v>332</v>
      </c>
      <c r="B15" s="166"/>
      <c r="C15" s="167"/>
      <c r="F15" s="106" t="s">
        <v>93</v>
      </c>
      <c r="G15"/>
      <c r="H15"/>
    </row>
    <row r="16" spans="1:12" ht="12" x14ac:dyDescent="0.25">
      <c r="A16" s="168"/>
      <c r="B16" s="169"/>
      <c r="C16" s="170"/>
      <c r="F16" s="34"/>
      <c r="G16" s="35" t="s">
        <v>220</v>
      </c>
      <c r="H16" s="36" t="s">
        <v>222</v>
      </c>
      <c r="L16" s="260"/>
    </row>
    <row r="17" spans="1:8" ht="12" x14ac:dyDescent="0.25">
      <c r="A17" s="171" t="s">
        <v>1</v>
      </c>
      <c r="B17" s="172" t="s">
        <v>2</v>
      </c>
      <c r="C17" s="173" t="s">
        <v>3</v>
      </c>
      <c r="F17" s="37" t="s">
        <v>73</v>
      </c>
      <c r="G17" s="38">
        <v>50000</v>
      </c>
      <c r="H17" s="107">
        <v>50000</v>
      </c>
    </row>
    <row r="18" spans="1:8" x14ac:dyDescent="0.2">
      <c r="A18" s="174" t="s">
        <v>4</v>
      </c>
      <c r="B18" s="175">
        <v>919150</v>
      </c>
      <c r="C18" s="176">
        <v>7.6499999999999999E-2</v>
      </c>
      <c r="F18" s="37" t="str">
        <f>A10</f>
        <v>FICA (Salary X .0765)</v>
      </c>
      <c r="G18" s="38">
        <f>G17*C18</f>
        <v>3825</v>
      </c>
      <c r="H18" s="107">
        <f>H17*C18</f>
        <v>3825</v>
      </c>
    </row>
    <row r="19" spans="1:8" x14ac:dyDescent="0.2">
      <c r="A19" s="174" t="s">
        <v>57</v>
      </c>
      <c r="B19" s="175">
        <v>919050</v>
      </c>
      <c r="C19" s="176">
        <v>0.22889999999999999</v>
      </c>
      <c r="F19" s="37" t="s">
        <v>336</v>
      </c>
      <c r="G19" s="38">
        <f>G17*C21</f>
        <v>13944.999999999998</v>
      </c>
      <c r="H19" s="107">
        <f>H17*C21</f>
        <v>13944.999999999998</v>
      </c>
    </row>
    <row r="20" spans="1:8" x14ac:dyDescent="0.2">
      <c r="A20" s="174" t="s">
        <v>7</v>
      </c>
      <c r="B20" s="175">
        <v>918000</v>
      </c>
      <c r="C20" s="176">
        <v>0.13220000000000001</v>
      </c>
      <c r="F20" s="37" t="s">
        <v>0</v>
      </c>
      <c r="G20" s="40">
        <f>C22</f>
        <v>7019</v>
      </c>
      <c r="H20" s="100">
        <f>C22</f>
        <v>7019</v>
      </c>
    </row>
    <row r="21" spans="1:8" x14ac:dyDescent="0.2">
      <c r="A21" s="174" t="s">
        <v>86</v>
      </c>
      <c r="B21" s="175">
        <v>919100</v>
      </c>
      <c r="C21" s="176">
        <v>0.27889999999999998</v>
      </c>
      <c r="F21" s="37" t="s">
        <v>95</v>
      </c>
      <c r="G21" s="38">
        <f>SUM(G17:G20)</f>
        <v>74789</v>
      </c>
      <c r="H21" s="107">
        <f>SUM(H17:H20)</f>
        <v>74789</v>
      </c>
    </row>
    <row r="22" spans="1:8" x14ac:dyDescent="0.2">
      <c r="A22" s="88" t="s">
        <v>246</v>
      </c>
      <c r="B22" s="175">
        <v>917000</v>
      </c>
      <c r="C22" s="89">
        <v>7019</v>
      </c>
      <c r="D22" s="32" t="s">
        <v>22</v>
      </c>
      <c r="F22" s="37"/>
      <c r="G22" s="38"/>
      <c r="H22" s="42"/>
    </row>
    <row r="23" spans="1:8" x14ac:dyDescent="0.2">
      <c r="A23" s="174"/>
      <c r="B23" s="169"/>
      <c r="C23" s="170"/>
      <c r="F23" s="153"/>
      <c r="G23" s="154"/>
      <c r="H23" s="155"/>
    </row>
    <row r="24" spans="1:8" x14ac:dyDescent="0.2">
      <c r="A24" s="174" t="s">
        <v>221</v>
      </c>
      <c r="B24" s="178">
        <f>SUM(C18+C19)</f>
        <v>0.3054</v>
      </c>
      <c r="C24" s="170"/>
      <c r="F24" s="37" t="s">
        <v>72</v>
      </c>
      <c r="G24" s="38">
        <v>50000</v>
      </c>
      <c r="H24" s="39">
        <v>50000</v>
      </c>
    </row>
    <row r="25" spans="1:8" x14ac:dyDescent="0.2">
      <c r="A25" s="174" t="s">
        <v>223</v>
      </c>
      <c r="B25" s="178">
        <f>C18+C20</f>
        <v>0.2087</v>
      </c>
      <c r="C25" s="170"/>
      <c r="F25" s="37" t="s">
        <v>338</v>
      </c>
      <c r="G25" s="40">
        <f>-C22</f>
        <v>-7019</v>
      </c>
      <c r="H25" s="41">
        <f>-C22</f>
        <v>-7019</v>
      </c>
    </row>
    <row r="26" spans="1:8" x14ac:dyDescent="0.2">
      <c r="A26" s="179" t="s">
        <v>185</v>
      </c>
      <c r="B26" s="180">
        <f>SUM(C18+C21)</f>
        <v>0.35539999999999999</v>
      </c>
      <c r="C26" s="181"/>
      <c r="F26" s="37" t="s">
        <v>12</v>
      </c>
      <c r="G26" s="38">
        <f>SUM(G24:G25)</f>
        <v>42981</v>
      </c>
      <c r="H26" s="39">
        <f>SUM(H24:H25)</f>
        <v>42981</v>
      </c>
    </row>
    <row r="27" spans="1:8" x14ac:dyDescent="0.2">
      <c r="F27" s="37"/>
      <c r="G27" s="38"/>
      <c r="H27" s="42"/>
    </row>
    <row r="28" spans="1:8" x14ac:dyDescent="0.2">
      <c r="A28" s="32" t="s">
        <v>337</v>
      </c>
      <c r="F28" s="37" t="s">
        <v>76</v>
      </c>
      <c r="G28" s="38">
        <f>G26/(1+C18+C21)</f>
        <v>31710.934041611334</v>
      </c>
      <c r="H28" s="39">
        <f>H26/(1+C18+C21)</f>
        <v>31710.934041611334</v>
      </c>
    </row>
    <row r="29" spans="1:8" x14ac:dyDescent="0.2">
      <c r="F29" s="37" t="str">
        <f>A10</f>
        <v>FICA (Salary X .0765)</v>
      </c>
      <c r="G29" s="38">
        <f>G28*C18</f>
        <v>2425.8864541832668</v>
      </c>
      <c r="H29" s="39">
        <f>H28*C18</f>
        <v>2425.8864541832668</v>
      </c>
    </row>
    <row r="30" spans="1:8" x14ac:dyDescent="0.2">
      <c r="A30" s="32" t="s">
        <v>218</v>
      </c>
      <c r="F30" s="37" t="str">
        <f>F19</f>
        <v>LEO Retirement (Salary x .2789 for both EHRA &amp; SHRA)</v>
      </c>
      <c r="G30" s="38">
        <f>G28*C21</f>
        <v>8844.1795042054</v>
      </c>
      <c r="H30" s="39">
        <f>H28*C21</f>
        <v>8844.1795042054</v>
      </c>
    </row>
    <row r="31" spans="1:8" x14ac:dyDescent="0.2">
      <c r="F31" s="37" t="s">
        <v>0</v>
      </c>
      <c r="G31" s="40">
        <f>C22</f>
        <v>7019</v>
      </c>
      <c r="H31" s="218">
        <f>C22</f>
        <v>7019</v>
      </c>
    </row>
    <row r="32" spans="1:8" ht="26.4" x14ac:dyDescent="0.25">
      <c r="A32" s="259" t="s">
        <v>219</v>
      </c>
      <c r="F32" s="43" t="s">
        <v>13</v>
      </c>
      <c r="G32" s="44">
        <f>SUM(G28:G31)</f>
        <v>50000</v>
      </c>
      <c r="H32" s="45">
        <f>SUM(H28:H31)</f>
        <v>50000</v>
      </c>
    </row>
    <row r="33" spans="1:8" x14ac:dyDescent="0.2">
      <c r="H33" s="157"/>
    </row>
    <row r="34" spans="1:8" ht="13.2" x14ac:dyDescent="0.25">
      <c r="A34" s="324"/>
    </row>
  </sheetData>
  <hyperlinks>
    <hyperlink ref="A32" r:id="rId1" xr:uid="{C610F818-3642-49E5-8C57-4C7D802F7AD4}"/>
  </hyperlinks>
  <pageMargins left="0.75" right="0.75" top="1" bottom="1" header="0.5" footer="0.5"/>
  <pageSetup scale="85" orientation="landscape" cellComments="asDisplayed" r:id="rId2"/>
  <headerFooter alignWithMargins="0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28440-0019-4A87-A1CC-4390ADFF33AC}">
  <sheetPr>
    <tabColor rgb="FF92D050"/>
  </sheetPr>
  <dimension ref="A1:G33"/>
  <sheetViews>
    <sheetView workbookViewId="0">
      <selection activeCell="H18" sqref="H18"/>
    </sheetView>
  </sheetViews>
  <sheetFormatPr defaultColWidth="9.109375" defaultRowHeight="11.4" x14ac:dyDescent="0.2"/>
  <cols>
    <col min="1" max="1" width="55.5546875" style="32" customWidth="1"/>
    <col min="2" max="2" width="9.5546875" style="32" bestFit="1" customWidth="1"/>
    <col min="3" max="3" width="9" style="32" bestFit="1" customWidth="1"/>
    <col min="4" max="4" width="3.44140625" style="32" customWidth="1"/>
    <col min="5" max="5" width="53.44140625" style="32" customWidth="1"/>
    <col min="6" max="6" width="9.88671875" style="32" customWidth="1"/>
    <col min="7" max="7" width="9.5546875" style="32" customWidth="1"/>
    <col min="8" max="16384" width="9.109375" style="32"/>
  </cols>
  <sheetData>
    <row r="1" spans="1:7" ht="17.399999999999999" x14ac:dyDescent="0.3">
      <c r="A1" s="78" t="s">
        <v>329</v>
      </c>
    </row>
    <row r="3" spans="1:7" x14ac:dyDescent="0.2">
      <c r="A3" s="33"/>
    </row>
    <row r="4" spans="1:7" ht="15.6" x14ac:dyDescent="0.3">
      <c r="A4" s="331" t="s">
        <v>20</v>
      </c>
      <c r="B4" s="120"/>
      <c r="C4" s="120"/>
      <c r="E4" s="332" t="s">
        <v>21</v>
      </c>
    </row>
    <row r="5" spans="1:7" ht="12" x14ac:dyDescent="0.25">
      <c r="A5" s="122"/>
      <c r="B5" s="123" t="s">
        <v>220</v>
      </c>
      <c r="C5" s="124" t="s">
        <v>222</v>
      </c>
      <c r="E5" s="34"/>
      <c r="F5" s="35" t="s">
        <v>220</v>
      </c>
      <c r="G5" s="36" t="s">
        <v>222</v>
      </c>
    </row>
    <row r="6" spans="1:7" ht="12" x14ac:dyDescent="0.25">
      <c r="A6" s="125" t="s">
        <v>335</v>
      </c>
      <c r="B6" s="126">
        <v>100000</v>
      </c>
      <c r="C6" s="127">
        <v>100000</v>
      </c>
      <c r="E6" s="37" t="s">
        <v>334</v>
      </c>
      <c r="F6" s="38">
        <v>100000</v>
      </c>
      <c r="G6" s="39">
        <v>100000</v>
      </c>
    </row>
    <row r="7" spans="1:7" x14ac:dyDescent="0.2">
      <c r="A7" s="125" t="str">
        <f>' FY 21-22 GF Calculator '!A6</f>
        <v>Take out the Medical (Flat amount for FY 21-22)</v>
      </c>
      <c r="B7" s="128">
        <f>-C24</f>
        <v>-7019</v>
      </c>
      <c r="C7" s="129">
        <f>-C24</f>
        <v>-7019</v>
      </c>
      <c r="E7" s="125" t="s">
        <v>102</v>
      </c>
      <c r="F7" s="38">
        <f>F6*C20</f>
        <v>7650</v>
      </c>
      <c r="G7" s="39">
        <f>G6*C20</f>
        <v>7650</v>
      </c>
    </row>
    <row r="8" spans="1:7" x14ac:dyDescent="0.2">
      <c r="A8" s="125" t="s">
        <v>12</v>
      </c>
      <c r="B8" s="126">
        <f>SUM(B6:B7)</f>
        <v>92981</v>
      </c>
      <c r="C8" s="127">
        <f>SUM(C6:C7)</f>
        <v>92981</v>
      </c>
      <c r="E8" s="37" t="str">
        <f>A12</f>
        <v>Retirement (Salary x .2289 for SHRA or .1322 for EHRA)</v>
      </c>
      <c r="F8" s="38">
        <f>F6*C21</f>
        <v>22890</v>
      </c>
      <c r="G8" s="39">
        <f>G6*C22</f>
        <v>13220.000000000002</v>
      </c>
    </row>
    <row r="9" spans="1:7" x14ac:dyDescent="0.2">
      <c r="A9" s="125"/>
      <c r="B9" s="126"/>
      <c r="C9" s="127"/>
      <c r="E9" s="125" t="s">
        <v>333</v>
      </c>
      <c r="F9" s="38">
        <f>F6*C25</f>
        <v>4890</v>
      </c>
      <c r="G9" s="39">
        <f>G6*C25</f>
        <v>4890</v>
      </c>
    </row>
    <row r="10" spans="1:7" x14ac:dyDescent="0.2">
      <c r="A10" s="125" t="s">
        <v>101</v>
      </c>
      <c r="B10" s="126">
        <f>B8/(1+C20+C21+C25)</f>
        <v>68656.132319279335</v>
      </c>
      <c r="C10" s="127">
        <f>C8/(1+C20+C22+C25)</f>
        <v>73935.273536895678</v>
      </c>
      <c r="E10" s="37" t="s">
        <v>0</v>
      </c>
      <c r="F10" s="40">
        <f>C24</f>
        <v>7019</v>
      </c>
      <c r="G10" s="41">
        <f>C24</f>
        <v>7019</v>
      </c>
    </row>
    <row r="11" spans="1:7" x14ac:dyDescent="0.2">
      <c r="A11" s="125" t="s">
        <v>102</v>
      </c>
      <c r="B11" s="126">
        <f>B10*C20</f>
        <v>5252.1941224248694</v>
      </c>
      <c r="C11" s="127">
        <f>C10*C20</f>
        <v>5656.0484255725196</v>
      </c>
      <c r="E11" s="37"/>
      <c r="F11" s="38"/>
      <c r="G11" s="39"/>
    </row>
    <row r="12" spans="1:7" ht="12" x14ac:dyDescent="0.25">
      <c r="A12" s="37" t="str">
        <f>' FY 21-22 GF Calculator '!A11</f>
        <v>Retirement (Salary x .2289 for SHRA or .1322 for EHRA)</v>
      </c>
      <c r="B12" s="38">
        <f>B10*C21</f>
        <v>15715.38868788304</v>
      </c>
      <c r="C12" s="39">
        <f>C10*C22</f>
        <v>9774.2431615776095</v>
      </c>
      <c r="E12" s="328" t="s">
        <v>90</v>
      </c>
      <c r="F12" s="329">
        <f>SUM(F6:F10)</f>
        <v>142449</v>
      </c>
      <c r="G12" s="330">
        <f>SUM(G6:G10)</f>
        <v>132779</v>
      </c>
    </row>
    <row r="13" spans="1:7" x14ac:dyDescent="0.2">
      <c r="A13" s="125" t="s">
        <v>320</v>
      </c>
      <c r="B13" s="126">
        <f>B10*C25</f>
        <v>3357.2848704127596</v>
      </c>
      <c r="C13" s="127">
        <f>C10*C25</f>
        <v>3615.4348759541986</v>
      </c>
      <c r="E13" s="37"/>
      <c r="G13" s="42"/>
    </row>
    <row r="14" spans="1:7" ht="12" x14ac:dyDescent="0.25">
      <c r="A14" s="125" t="s">
        <v>0</v>
      </c>
      <c r="B14" s="128">
        <f>C24</f>
        <v>7019</v>
      </c>
      <c r="C14" s="129">
        <f>C24</f>
        <v>7019</v>
      </c>
      <c r="E14" s="325"/>
      <c r="F14" s="326"/>
      <c r="G14" s="327"/>
    </row>
    <row r="15" spans="1:7" x14ac:dyDescent="0.2">
      <c r="A15" s="130" t="s">
        <v>13</v>
      </c>
      <c r="B15" s="131">
        <f>SUM(B10:B14)</f>
        <v>100000</v>
      </c>
      <c r="C15" s="132">
        <f>SUM(C10:C14)</f>
        <v>100000.00000000001</v>
      </c>
    </row>
    <row r="16" spans="1:7" x14ac:dyDescent="0.2">
      <c r="B16" s="40"/>
    </row>
    <row r="17" spans="1:4" ht="13.2" x14ac:dyDescent="0.25">
      <c r="A17" s="220" t="str">
        <f>' FY 21-22 GF Calculator '!A15</f>
        <v>FY 21-22 BENEFITS RATES (PERMANENT EMPLOYEES)</v>
      </c>
      <c r="B17" s="139"/>
      <c r="C17" s="140"/>
    </row>
    <row r="18" spans="1:4" ht="12" x14ac:dyDescent="0.25">
      <c r="A18" s="141"/>
      <c r="B18" s="142"/>
      <c r="C18" s="143"/>
    </row>
    <row r="19" spans="1:4" ht="12" x14ac:dyDescent="0.25">
      <c r="A19" s="144" t="s">
        <v>1</v>
      </c>
      <c r="B19" s="145" t="s">
        <v>2</v>
      </c>
      <c r="C19" s="146" t="s">
        <v>3</v>
      </c>
    </row>
    <row r="20" spans="1:4" x14ac:dyDescent="0.2">
      <c r="A20" s="147" t="s">
        <v>4</v>
      </c>
      <c r="B20" s="148">
        <v>919150</v>
      </c>
      <c r="C20" s="161">
        <f>' FY 16-17 GF Calculator '!C18</f>
        <v>7.6499999999999999E-2</v>
      </c>
    </row>
    <row r="21" spans="1:4" x14ac:dyDescent="0.2">
      <c r="A21" s="147" t="s">
        <v>57</v>
      </c>
      <c r="B21" s="148">
        <v>919050</v>
      </c>
      <c r="C21" s="161">
        <f>' FY 21-22 GF Calculator '!C19</f>
        <v>0.22889999999999999</v>
      </c>
    </row>
    <row r="22" spans="1:4" x14ac:dyDescent="0.2">
      <c r="A22" s="147" t="s">
        <v>7</v>
      </c>
      <c r="B22" s="148">
        <v>918000</v>
      </c>
      <c r="C22" s="161">
        <f>' FY 21-22 GF Calculator '!C20</f>
        <v>0.13220000000000001</v>
      </c>
    </row>
    <row r="23" spans="1:4" x14ac:dyDescent="0.2">
      <c r="A23" s="147" t="s">
        <v>86</v>
      </c>
      <c r="B23" s="148">
        <v>919100</v>
      </c>
      <c r="C23" s="161">
        <f>' FY 21-22 GF Calculator '!C21</f>
        <v>0.27889999999999998</v>
      </c>
    </row>
    <row r="24" spans="1:4" x14ac:dyDescent="0.2">
      <c r="A24" s="147" t="s">
        <v>6</v>
      </c>
      <c r="B24" s="148">
        <v>917000</v>
      </c>
      <c r="C24" s="112">
        <v>7019</v>
      </c>
      <c r="D24" s="32" t="s">
        <v>22</v>
      </c>
    </row>
    <row r="25" spans="1:4" x14ac:dyDescent="0.2">
      <c r="A25" s="261" t="s">
        <v>226</v>
      </c>
      <c r="B25" s="137">
        <v>919700</v>
      </c>
      <c r="C25" s="162">
        <v>4.8899999999999999E-2</v>
      </c>
    </row>
    <row r="26" spans="1:4" x14ac:dyDescent="0.2">
      <c r="A26" s="147"/>
      <c r="B26" s="148"/>
      <c r="C26" s="152"/>
    </row>
    <row r="27" spans="1:4" x14ac:dyDescent="0.2">
      <c r="A27" s="147" t="s">
        <v>224</v>
      </c>
      <c r="B27" s="163">
        <f>SUM(C20+C21+C25)</f>
        <v>0.3543</v>
      </c>
      <c r="C27" s="143"/>
    </row>
    <row r="28" spans="1:4" x14ac:dyDescent="0.2">
      <c r="A28" s="150" t="s">
        <v>227</v>
      </c>
      <c r="B28" s="164">
        <f>C20+C22+C25</f>
        <v>0.2576</v>
      </c>
      <c r="C28" s="151"/>
    </row>
    <row r="30" spans="1:4" x14ac:dyDescent="0.2">
      <c r="A30" s="32" t="str">
        <f>' FY 21-22 GF Calculator '!A28</f>
        <v>Updated:  11/30/21</v>
      </c>
    </row>
    <row r="32" spans="1:4" x14ac:dyDescent="0.2">
      <c r="A32" s="32" t="s">
        <v>218</v>
      </c>
    </row>
    <row r="33" spans="1:1" ht="26.4" x14ac:dyDescent="0.25">
      <c r="A33" s="259" t="s">
        <v>219</v>
      </c>
    </row>
  </sheetData>
  <hyperlinks>
    <hyperlink ref="A33" r:id="rId1" xr:uid="{417E21E5-1A70-4634-B8FC-2CF7B631D5DA}"/>
  </hyperlinks>
  <printOptions horizontalCentered="1"/>
  <pageMargins left="0.1" right="0.1" top="1" bottom="1" header="0.5" footer="0.5"/>
  <pageSetup scale="85" orientation="landscape" cellComments="asDisplayed" r:id="rId2"/>
  <headerFooter alignWithMargins="0">
    <oddFooter>&amp;L&amp;Z&amp;F</oddFooter>
  </headerFooter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2C932-6BEE-4598-A969-D8C4EEE67F98}">
  <dimension ref="A1:P36"/>
  <sheetViews>
    <sheetView zoomScaleNormal="100" workbookViewId="0">
      <selection activeCell="J23" sqref="J23"/>
    </sheetView>
  </sheetViews>
  <sheetFormatPr defaultColWidth="8.88671875" defaultRowHeight="10.199999999999999" x14ac:dyDescent="0.2"/>
  <cols>
    <col min="1" max="1" width="10.109375" style="183" customWidth="1"/>
    <col min="2" max="2" width="7.88671875" style="183" customWidth="1"/>
    <col min="3" max="3" width="36.77734375" style="182" customWidth="1"/>
    <col min="4" max="4" width="8.5546875" style="182" customWidth="1"/>
    <col min="5" max="5" width="7" style="182" customWidth="1"/>
    <col min="6" max="8" width="8.5546875" style="183" customWidth="1"/>
    <col min="9" max="11" width="8.5546875" style="182" customWidth="1"/>
    <col min="12" max="12" width="2.5546875" style="182" customWidth="1"/>
    <col min="13" max="13" width="18.88671875" style="182" customWidth="1"/>
    <col min="14" max="16" width="8.5546875" style="182" customWidth="1"/>
    <col min="17" max="16384" width="8.88671875" style="182"/>
  </cols>
  <sheetData>
    <row r="1" spans="1:16" ht="43.65" customHeight="1" x14ac:dyDescent="0.25">
      <c r="A1" s="223" t="s">
        <v>376</v>
      </c>
      <c r="F1" s="425" t="s">
        <v>361</v>
      </c>
      <c r="G1" s="425"/>
      <c r="H1" s="425"/>
      <c r="I1" s="425"/>
      <c r="J1" s="341" t="s">
        <v>360</v>
      </c>
      <c r="K1" s="223"/>
      <c r="L1" s="223"/>
      <c r="M1" s="312" t="s">
        <v>200</v>
      </c>
      <c r="N1" s="427" t="s">
        <v>302</v>
      </c>
      <c r="O1" s="427"/>
      <c r="P1" s="427"/>
    </row>
    <row r="2" spans="1:16" s="185" customFormat="1" ht="68.400000000000006" customHeight="1" x14ac:dyDescent="0.2">
      <c r="A2" s="184" t="s">
        <v>136</v>
      </c>
      <c r="B2" s="308" t="s">
        <v>299</v>
      </c>
      <c r="C2" s="185" t="s">
        <v>137</v>
      </c>
      <c r="D2" s="185" t="s">
        <v>159</v>
      </c>
      <c r="E2" s="184" t="s">
        <v>138</v>
      </c>
      <c r="F2" s="207" t="s">
        <v>146</v>
      </c>
      <c r="G2" s="207" t="s">
        <v>147</v>
      </c>
      <c r="H2" s="207" t="s">
        <v>148</v>
      </c>
      <c r="I2" s="266" t="s">
        <v>341</v>
      </c>
      <c r="J2" s="337" t="s">
        <v>359</v>
      </c>
      <c r="K2" s="306" t="s">
        <v>298</v>
      </c>
      <c r="L2" s="184"/>
      <c r="M2" s="307" t="s">
        <v>298</v>
      </c>
      <c r="N2" s="311" t="s">
        <v>362</v>
      </c>
      <c r="O2" s="311" t="s">
        <v>363</v>
      </c>
      <c r="P2" s="311" t="s">
        <v>301</v>
      </c>
    </row>
    <row r="3" spans="1:16" x14ac:dyDescent="0.2">
      <c r="A3" s="186">
        <v>10</v>
      </c>
      <c r="B3" s="309" t="s">
        <v>300</v>
      </c>
      <c r="C3" s="187" t="s">
        <v>228</v>
      </c>
      <c r="D3" s="186" t="s">
        <v>155</v>
      </c>
      <c r="E3" s="187">
        <v>912100</v>
      </c>
      <c r="F3" s="188">
        <v>7.6499999999999999E-2</v>
      </c>
      <c r="G3" s="188">
        <v>0.25019999999999998</v>
      </c>
      <c r="H3" s="227"/>
      <c r="I3" s="338">
        <v>7557</v>
      </c>
      <c r="J3" s="188">
        <v>4.3799999999999999E-2</v>
      </c>
      <c r="K3" s="243" t="s">
        <v>197</v>
      </c>
      <c r="L3" s="224"/>
      <c r="M3" s="247" t="s">
        <v>197</v>
      </c>
      <c r="N3" s="313" t="s">
        <v>303</v>
      </c>
      <c r="O3" s="313" t="s">
        <v>303</v>
      </c>
      <c r="P3" s="314" t="s">
        <v>303</v>
      </c>
    </row>
    <row r="4" spans="1:16" x14ac:dyDescent="0.2">
      <c r="A4" s="189">
        <v>10</v>
      </c>
      <c r="B4" s="309" t="s">
        <v>300</v>
      </c>
      <c r="C4" s="190" t="s">
        <v>229</v>
      </c>
      <c r="D4" s="186" t="s">
        <v>156</v>
      </c>
      <c r="E4" s="187">
        <v>912100</v>
      </c>
      <c r="F4" s="191">
        <v>7.6499999999999999E-2</v>
      </c>
      <c r="G4" s="225"/>
      <c r="H4" s="226"/>
      <c r="I4" s="339"/>
      <c r="J4" s="188">
        <v>4.3799999999999999E-2</v>
      </c>
      <c r="K4" s="244" t="s">
        <v>197</v>
      </c>
      <c r="L4" s="224"/>
      <c r="M4" s="204" t="s">
        <v>197</v>
      </c>
      <c r="N4" s="315" t="s">
        <v>303</v>
      </c>
      <c r="O4" s="315" t="s">
        <v>303</v>
      </c>
      <c r="P4" s="316" t="s">
        <v>303</v>
      </c>
    </row>
    <row r="5" spans="1:16" x14ac:dyDescent="0.2">
      <c r="A5" s="186">
        <v>10</v>
      </c>
      <c r="B5" s="309" t="s">
        <v>300</v>
      </c>
      <c r="C5" s="320" t="s">
        <v>309</v>
      </c>
      <c r="D5" s="186" t="s">
        <v>155</v>
      </c>
      <c r="E5" s="187">
        <v>912090</v>
      </c>
      <c r="F5" s="191">
        <v>7.6499999999999999E-2</v>
      </c>
      <c r="G5" s="188">
        <v>0.30020000000000002</v>
      </c>
      <c r="H5" s="226"/>
      <c r="I5" s="338">
        <v>7557</v>
      </c>
      <c r="J5" s="188">
        <v>4.3799999999999999E-2</v>
      </c>
      <c r="K5" s="342" t="s">
        <v>197</v>
      </c>
      <c r="L5" s="224"/>
      <c r="M5" s="264" t="s">
        <v>217</v>
      </c>
      <c r="N5" s="315" t="s">
        <v>303</v>
      </c>
      <c r="O5" s="315" t="s">
        <v>303</v>
      </c>
      <c r="P5" s="316" t="s">
        <v>303</v>
      </c>
    </row>
    <row r="6" spans="1:16" x14ac:dyDescent="0.2">
      <c r="A6" s="189">
        <v>15</v>
      </c>
      <c r="B6" s="310" t="s">
        <v>301</v>
      </c>
      <c r="C6" s="190" t="s">
        <v>230</v>
      </c>
      <c r="D6" s="229"/>
      <c r="E6" s="190">
        <v>915900</v>
      </c>
      <c r="F6" s="191">
        <v>7.6499999999999999E-2</v>
      </c>
      <c r="G6" s="225"/>
      <c r="H6" s="226"/>
      <c r="I6" s="339"/>
      <c r="J6" s="188">
        <v>1E-3</v>
      </c>
      <c r="K6" s="245" t="s">
        <v>199</v>
      </c>
      <c r="L6" s="224"/>
      <c r="M6" s="204" t="s">
        <v>197</v>
      </c>
      <c r="N6" s="315" t="s">
        <v>303</v>
      </c>
      <c r="O6" s="315" t="s">
        <v>303</v>
      </c>
      <c r="P6" s="316" t="s">
        <v>303</v>
      </c>
    </row>
    <row r="7" spans="1:16" x14ac:dyDescent="0.2">
      <c r="A7" s="189">
        <v>18</v>
      </c>
      <c r="B7" s="310" t="s">
        <v>301</v>
      </c>
      <c r="C7" s="190" t="s">
        <v>231</v>
      </c>
      <c r="D7" s="229"/>
      <c r="E7" s="190">
        <v>915900</v>
      </c>
      <c r="F7" s="191">
        <v>7.6499999999999999E-2</v>
      </c>
      <c r="G7" s="225"/>
      <c r="H7" s="226"/>
      <c r="I7" s="339"/>
      <c r="J7" s="188">
        <v>1E-3</v>
      </c>
      <c r="K7" s="245" t="s">
        <v>199</v>
      </c>
      <c r="L7" s="224"/>
      <c r="M7" s="204" t="s">
        <v>197</v>
      </c>
      <c r="N7" s="315" t="s">
        <v>303</v>
      </c>
      <c r="O7" s="315" t="s">
        <v>303</v>
      </c>
      <c r="P7" s="316" t="s">
        <v>303</v>
      </c>
    </row>
    <row r="8" spans="1:16" x14ac:dyDescent="0.2">
      <c r="A8" s="189">
        <v>19</v>
      </c>
      <c r="B8" s="310" t="s">
        <v>301</v>
      </c>
      <c r="C8" s="190" t="s">
        <v>232</v>
      </c>
      <c r="D8" s="229"/>
      <c r="E8" s="190">
        <v>915900</v>
      </c>
      <c r="F8" s="191">
        <v>7.6499999999999999E-2</v>
      </c>
      <c r="G8" s="225"/>
      <c r="H8" s="226"/>
      <c r="I8" s="339"/>
      <c r="J8" s="188">
        <v>1E-3</v>
      </c>
      <c r="K8" s="245" t="s">
        <v>199</v>
      </c>
      <c r="L8" s="224"/>
      <c r="M8" s="204" t="s">
        <v>197</v>
      </c>
      <c r="N8" s="315" t="s">
        <v>303</v>
      </c>
      <c r="O8" s="315" t="s">
        <v>303</v>
      </c>
      <c r="P8" s="316" t="s">
        <v>303</v>
      </c>
    </row>
    <row r="9" spans="1:16" x14ac:dyDescent="0.2">
      <c r="A9" s="189">
        <v>20</v>
      </c>
      <c r="B9" s="309" t="s">
        <v>300</v>
      </c>
      <c r="C9" s="190" t="s">
        <v>233</v>
      </c>
      <c r="D9" s="186" t="s">
        <v>155</v>
      </c>
      <c r="E9" s="190">
        <v>911100</v>
      </c>
      <c r="F9" s="191">
        <v>7.6499999999999999E-2</v>
      </c>
      <c r="G9" s="225"/>
      <c r="H9" s="191">
        <v>0.1409</v>
      </c>
      <c r="I9" s="338">
        <v>7557</v>
      </c>
      <c r="J9" s="188">
        <v>4.3799999999999999E-2</v>
      </c>
      <c r="K9" s="244" t="s">
        <v>197</v>
      </c>
      <c r="L9" s="224"/>
      <c r="M9" s="204" t="s">
        <v>197</v>
      </c>
      <c r="N9" s="315" t="s">
        <v>303</v>
      </c>
      <c r="O9" s="315" t="s">
        <v>303</v>
      </c>
      <c r="P9" s="316" t="s">
        <v>303</v>
      </c>
    </row>
    <row r="10" spans="1:16" x14ac:dyDescent="0.2">
      <c r="A10" s="189">
        <v>20</v>
      </c>
      <c r="B10" s="309" t="s">
        <v>300</v>
      </c>
      <c r="C10" s="190" t="s">
        <v>234</v>
      </c>
      <c r="D10" s="186" t="s">
        <v>156</v>
      </c>
      <c r="E10" s="190">
        <v>911100</v>
      </c>
      <c r="F10" s="191">
        <v>7.6499999999999999E-2</v>
      </c>
      <c r="G10" s="225"/>
      <c r="H10" s="225"/>
      <c r="I10" s="339"/>
      <c r="J10" s="188">
        <v>4.3799999999999999E-2</v>
      </c>
      <c r="K10" s="244" t="s">
        <v>197</v>
      </c>
      <c r="L10" s="224"/>
      <c r="M10" s="204" t="s">
        <v>197</v>
      </c>
      <c r="N10" s="315" t="s">
        <v>303</v>
      </c>
      <c r="O10" s="315" t="s">
        <v>303</v>
      </c>
      <c r="P10" s="316" t="s">
        <v>303</v>
      </c>
    </row>
    <row r="11" spans="1:16" x14ac:dyDescent="0.2">
      <c r="A11" s="189">
        <v>30</v>
      </c>
      <c r="B11" s="309" t="s">
        <v>300</v>
      </c>
      <c r="C11" s="190" t="s">
        <v>235</v>
      </c>
      <c r="D11" s="189">
        <v>1</v>
      </c>
      <c r="E11" s="190">
        <v>913100</v>
      </c>
      <c r="F11" s="191">
        <v>7.6499999999999999E-2</v>
      </c>
      <c r="G11" s="225"/>
      <c r="H11" s="191">
        <v>0.1409</v>
      </c>
      <c r="I11" s="338">
        <v>7557</v>
      </c>
      <c r="J11" s="188">
        <v>4.3799999999999999E-2</v>
      </c>
      <c r="K11" s="244" t="s">
        <v>197</v>
      </c>
      <c r="L11" s="224"/>
      <c r="M11" s="204" t="s">
        <v>197</v>
      </c>
      <c r="N11" s="315" t="s">
        <v>303</v>
      </c>
      <c r="O11" s="315" t="s">
        <v>303</v>
      </c>
      <c r="P11" s="316" t="s">
        <v>303</v>
      </c>
    </row>
    <row r="12" spans="1:16" x14ac:dyDescent="0.2">
      <c r="A12" s="189">
        <v>32</v>
      </c>
      <c r="B12" s="309" t="s">
        <v>300</v>
      </c>
      <c r="C12" s="190" t="s">
        <v>236</v>
      </c>
      <c r="D12" s="189">
        <v>1</v>
      </c>
      <c r="E12" s="190">
        <v>913100</v>
      </c>
      <c r="F12" s="191">
        <v>7.6499999999999999E-2</v>
      </c>
      <c r="G12" s="226"/>
      <c r="H12" s="191">
        <v>0.1409</v>
      </c>
      <c r="I12" s="338">
        <v>7557</v>
      </c>
      <c r="J12" s="188">
        <v>4.3799999999999999E-2</v>
      </c>
      <c r="K12" s="244" t="s">
        <v>197</v>
      </c>
      <c r="L12" s="224"/>
      <c r="M12" s="204" t="s">
        <v>197</v>
      </c>
      <c r="N12" s="315" t="s">
        <v>303</v>
      </c>
      <c r="O12" s="315" t="s">
        <v>303</v>
      </c>
      <c r="P12" s="316" t="s">
        <v>303</v>
      </c>
    </row>
    <row r="13" spans="1:16" x14ac:dyDescent="0.2">
      <c r="A13" s="189">
        <v>36</v>
      </c>
      <c r="B13" s="309" t="s">
        <v>300</v>
      </c>
      <c r="C13" s="190" t="s">
        <v>237</v>
      </c>
      <c r="D13" s="189">
        <v>1</v>
      </c>
      <c r="E13" s="190">
        <v>913100</v>
      </c>
      <c r="F13" s="191">
        <v>7.6499999999999999E-2</v>
      </c>
      <c r="G13" s="226"/>
      <c r="H13" s="191">
        <v>0.1409</v>
      </c>
      <c r="I13" s="338">
        <v>7557</v>
      </c>
      <c r="J13" s="188">
        <v>4.3799999999999999E-2</v>
      </c>
      <c r="K13" s="244" t="s">
        <v>197</v>
      </c>
      <c r="L13" s="224"/>
      <c r="M13" s="204" t="s">
        <v>197</v>
      </c>
      <c r="N13" s="315" t="s">
        <v>303</v>
      </c>
      <c r="O13" s="315" t="s">
        <v>303</v>
      </c>
      <c r="P13" s="316" t="s">
        <v>303</v>
      </c>
    </row>
    <row r="14" spans="1:16" x14ac:dyDescent="0.2">
      <c r="A14" s="189">
        <v>40</v>
      </c>
      <c r="B14" s="310" t="s">
        <v>301</v>
      </c>
      <c r="C14" s="190" t="s">
        <v>238</v>
      </c>
      <c r="D14" s="238"/>
      <c r="E14" s="190">
        <v>911200</v>
      </c>
      <c r="F14" s="191">
        <v>7.6499999999999999E-2</v>
      </c>
      <c r="G14" s="225"/>
      <c r="H14" s="231"/>
      <c r="I14" s="339"/>
      <c r="J14" s="188">
        <v>1E-3</v>
      </c>
      <c r="K14" s="245" t="s">
        <v>199</v>
      </c>
      <c r="L14" s="224"/>
      <c r="M14" s="204" t="s">
        <v>197</v>
      </c>
      <c r="N14" s="343" t="s">
        <v>364</v>
      </c>
      <c r="O14" s="315" t="s">
        <v>303</v>
      </c>
      <c r="P14" s="316" t="s">
        <v>303</v>
      </c>
    </row>
    <row r="15" spans="1:16" x14ac:dyDescent="0.2">
      <c r="A15" s="189">
        <v>50</v>
      </c>
      <c r="B15" s="310" t="s">
        <v>301</v>
      </c>
      <c r="C15" s="190" t="s">
        <v>239</v>
      </c>
      <c r="D15" s="238"/>
      <c r="E15" s="190">
        <v>911200</v>
      </c>
      <c r="F15" s="191">
        <v>7.6499999999999999E-2</v>
      </c>
      <c r="G15" s="228"/>
      <c r="H15" s="231"/>
      <c r="I15" s="339"/>
      <c r="J15" s="188">
        <v>1E-3</v>
      </c>
      <c r="K15" s="245" t="s">
        <v>199</v>
      </c>
      <c r="L15" s="224"/>
      <c r="M15" s="204" t="s">
        <v>197</v>
      </c>
      <c r="N15" s="343" t="s">
        <v>364</v>
      </c>
      <c r="O15" s="315" t="s">
        <v>303</v>
      </c>
      <c r="P15" s="316" t="s">
        <v>303</v>
      </c>
    </row>
    <row r="16" spans="1:16" x14ac:dyDescent="0.2">
      <c r="A16" s="189">
        <v>45</v>
      </c>
      <c r="B16" s="310" t="s">
        <v>301</v>
      </c>
      <c r="C16" s="190" t="s">
        <v>240</v>
      </c>
      <c r="D16" s="238"/>
      <c r="E16" s="190">
        <v>911300</v>
      </c>
      <c r="F16" s="191">
        <v>7.6499999999999999E-2</v>
      </c>
      <c r="G16" s="228"/>
      <c r="H16" s="231"/>
      <c r="I16" s="339"/>
      <c r="J16" s="188">
        <v>4.3799999999999999E-2</v>
      </c>
      <c r="K16" s="245" t="s">
        <v>199</v>
      </c>
      <c r="L16" s="224"/>
      <c r="M16" s="204" t="s">
        <v>197</v>
      </c>
      <c r="N16" s="343" t="s">
        <v>364</v>
      </c>
      <c r="O16" s="315" t="s">
        <v>303</v>
      </c>
      <c r="P16" s="316" t="s">
        <v>303</v>
      </c>
    </row>
    <row r="17" spans="1:16" x14ac:dyDescent="0.2">
      <c r="A17" s="189">
        <v>45</v>
      </c>
      <c r="B17" s="310" t="s">
        <v>301</v>
      </c>
      <c r="C17" s="190" t="s">
        <v>241</v>
      </c>
      <c r="D17" s="238"/>
      <c r="E17" s="190">
        <v>913300</v>
      </c>
      <c r="F17" s="191">
        <v>7.6499999999999999E-2</v>
      </c>
      <c r="G17" s="228"/>
      <c r="H17" s="231"/>
      <c r="I17" s="339"/>
      <c r="J17" s="188">
        <v>4.3799999999999999E-2</v>
      </c>
      <c r="K17" s="245" t="s">
        <v>199</v>
      </c>
      <c r="L17" s="224"/>
      <c r="M17" s="204" t="s">
        <v>197</v>
      </c>
      <c r="N17" s="343" t="s">
        <v>364</v>
      </c>
      <c r="O17" s="315" t="s">
        <v>303</v>
      </c>
      <c r="P17" s="316" t="s">
        <v>303</v>
      </c>
    </row>
    <row r="18" spans="1:16" x14ac:dyDescent="0.2">
      <c r="A18" s="189">
        <v>50</v>
      </c>
      <c r="B18" s="310" t="s">
        <v>301</v>
      </c>
      <c r="C18" s="190" t="s">
        <v>242</v>
      </c>
      <c r="D18" s="238"/>
      <c r="E18" s="190">
        <v>913200</v>
      </c>
      <c r="F18" s="191">
        <v>7.6499999999999999E-2</v>
      </c>
      <c r="G18" s="228"/>
      <c r="H18" s="231"/>
      <c r="I18" s="339"/>
      <c r="J18" s="188">
        <v>1E-3</v>
      </c>
      <c r="K18" s="245" t="s">
        <v>199</v>
      </c>
      <c r="L18" s="224"/>
      <c r="M18" s="204" t="s">
        <v>197</v>
      </c>
      <c r="N18" s="343" t="s">
        <v>364</v>
      </c>
      <c r="O18" s="315" t="s">
        <v>303</v>
      </c>
      <c r="P18" s="316" t="s">
        <v>303</v>
      </c>
    </row>
    <row r="19" spans="1:16" x14ac:dyDescent="0.2">
      <c r="A19" s="189">
        <v>60</v>
      </c>
      <c r="B19" s="310" t="s">
        <v>301</v>
      </c>
      <c r="C19" s="190" t="s">
        <v>161</v>
      </c>
      <c r="D19" s="190" t="s">
        <v>160</v>
      </c>
      <c r="E19" s="190">
        <v>913250</v>
      </c>
      <c r="F19" s="191" t="s">
        <v>174</v>
      </c>
      <c r="G19" s="229"/>
      <c r="H19" s="226"/>
      <c r="I19" s="339"/>
      <c r="J19" s="188">
        <v>1E-3</v>
      </c>
      <c r="K19" s="245" t="s">
        <v>199</v>
      </c>
      <c r="L19" s="236"/>
      <c r="M19" s="225" t="s">
        <v>199</v>
      </c>
      <c r="N19" s="343" t="s">
        <v>364</v>
      </c>
      <c r="O19" s="315" t="s">
        <v>303</v>
      </c>
      <c r="P19" s="316" t="s">
        <v>303</v>
      </c>
    </row>
    <row r="20" spans="1:16" x14ac:dyDescent="0.2">
      <c r="A20" s="189">
        <v>60</v>
      </c>
      <c r="B20" s="310" t="s">
        <v>301</v>
      </c>
      <c r="C20" s="190" t="s">
        <v>162</v>
      </c>
      <c r="D20" s="190" t="s">
        <v>160</v>
      </c>
      <c r="E20" s="190">
        <v>911250</v>
      </c>
      <c r="F20" s="191" t="s">
        <v>174</v>
      </c>
      <c r="G20" s="229"/>
      <c r="H20" s="226"/>
      <c r="I20" s="339"/>
      <c r="J20" s="188">
        <v>1E-3</v>
      </c>
      <c r="K20" s="245" t="s">
        <v>199</v>
      </c>
      <c r="L20" s="236"/>
      <c r="M20" s="225" t="s">
        <v>199</v>
      </c>
      <c r="N20" s="343" t="s">
        <v>364</v>
      </c>
      <c r="O20" s="315" t="s">
        <v>303</v>
      </c>
      <c r="P20" s="316" t="s">
        <v>303</v>
      </c>
    </row>
    <row r="21" spans="1:16" x14ac:dyDescent="0.2">
      <c r="A21" s="189">
        <v>70</v>
      </c>
      <c r="B21" s="310" t="s">
        <v>301</v>
      </c>
      <c r="C21" s="262" t="s">
        <v>358</v>
      </c>
      <c r="D21" s="190" t="s">
        <v>165</v>
      </c>
      <c r="E21" s="190">
        <v>915020</v>
      </c>
      <c r="F21" s="204" t="s">
        <v>174</v>
      </c>
      <c r="G21" s="226"/>
      <c r="H21" s="226"/>
      <c r="I21" s="340"/>
      <c r="J21" s="188">
        <v>1E-3</v>
      </c>
      <c r="K21" s="245" t="s">
        <v>199</v>
      </c>
      <c r="L21" s="183"/>
      <c r="M21" s="225" t="s">
        <v>199</v>
      </c>
      <c r="N21" s="315" t="s">
        <v>303</v>
      </c>
      <c r="O21" s="315" t="s">
        <v>303</v>
      </c>
      <c r="P21" s="316" t="s">
        <v>303</v>
      </c>
    </row>
    <row r="22" spans="1:16" x14ac:dyDescent="0.2">
      <c r="A22" s="189">
        <v>75</v>
      </c>
      <c r="B22" s="310" t="s">
        <v>301</v>
      </c>
      <c r="C22" s="262" t="s">
        <v>248</v>
      </c>
      <c r="D22" s="190" t="s">
        <v>165</v>
      </c>
      <c r="E22" s="190">
        <v>915030</v>
      </c>
      <c r="F22" s="204" t="s">
        <v>174</v>
      </c>
      <c r="G22" s="226"/>
      <c r="H22" s="226"/>
      <c r="I22" s="340"/>
      <c r="J22" s="382" t="s">
        <v>217</v>
      </c>
      <c r="K22" s="245" t="s">
        <v>199</v>
      </c>
      <c r="L22" s="183"/>
      <c r="M22" s="225" t="s">
        <v>199</v>
      </c>
      <c r="N22" s="315" t="s">
        <v>303</v>
      </c>
      <c r="O22" s="315" t="s">
        <v>303</v>
      </c>
      <c r="P22" s="316" t="s">
        <v>303</v>
      </c>
    </row>
    <row r="23" spans="1:16" x14ac:dyDescent="0.2">
      <c r="I23" s="183"/>
      <c r="J23" s="183"/>
      <c r="K23" s="183"/>
      <c r="L23" s="183"/>
    </row>
    <row r="24" spans="1:16" x14ac:dyDescent="0.2">
      <c r="A24" s="202" t="s">
        <v>167</v>
      </c>
      <c r="B24" s="202"/>
      <c r="C24" s="182" t="s">
        <v>348</v>
      </c>
      <c r="I24" s="183"/>
      <c r="J24" s="183"/>
      <c r="K24" s="183"/>
      <c r="L24" s="183"/>
    </row>
    <row r="25" spans="1:16" x14ac:dyDescent="0.2">
      <c r="A25" s="202" t="s">
        <v>168</v>
      </c>
      <c r="B25" s="202"/>
      <c r="C25" s="182" t="s">
        <v>349</v>
      </c>
      <c r="I25" s="183"/>
      <c r="J25" s="183"/>
      <c r="K25" s="183"/>
      <c r="L25" s="183"/>
    </row>
    <row r="27" spans="1:16" ht="13.2" x14ac:dyDescent="0.25">
      <c r="C27" s="344" t="s">
        <v>367</v>
      </c>
    </row>
    <row r="28" spans="1:16" ht="11.4" x14ac:dyDescent="0.2">
      <c r="C28" s="32" t="s">
        <v>366</v>
      </c>
    </row>
    <row r="29" spans="1:16" ht="11.4" x14ac:dyDescent="0.2">
      <c r="C29" s="32" t="s">
        <v>365</v>
      </c>
    </row>
    <row r="30" spans="1:16" ht="13.2" x14ac:dyDescent="0.2">
      <c r="C30" s="258"/>
    </row>
    <row r="31" spans="1:16" ht="13.2" x14ac:dyDescent="0.25">
      <c r="C31"/>
    </row>
    <row r="32" spans="1:16" ht="13.2" x14ac:dyDescent="0.2">
      <c r="C32" s="258"/>
    </row>
    <row r="33" spans="3:3" ht="13.2" x14ac:dyDescent="0.25">
      <c r="C33"/>
    </row>
    <row r="34" spans="3:3" ht="13.2" x14ac:dyDescent="0.2">
      <c r="C34" s="258"/>
    </row>
    <row r="35" spans="3:3" ht="13.2" x14ac:dyDescent="0.25">
      <c r="C35"/>
    </row>
    <row r="36" spans="3:3" ht="13.2" x14ac:dyDescent="0.2">
      <c r="C36" s="258"/>
    </row>
  </sheetData>
  <mergeCells count="2">
    <mergeCell ref="F1:I1"/>
    <mergeCell ref="N1:P1"/>
  </mergeCells>
  <pageMargins left="0.7" right="0.7" top="0.75" bottom="0.75" header="0.3" footer="0.3"/>
  <pageSetup scale="85" orientation="landscape" r:id="rId1"/>
  <headerFooter>
    <oddFooter>&amp;L&amp;Z&amp;F&amp;RPage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C4076-2A27-4706-AAE8-F19774FEE9C4}">
  <dimension ref="A1:D20"/>
  <sheetViews>
    <sheetView workbookViewId="0">
      <selection activeCell="A16" sqref="A16"/>
    </sheetView>
  </sheetViews>
  <sheetFormatPr defaultRowHeight="13.2" x14ac:dyDescent="0.25"/>
  <cols>
    <col min="2" max="2" width="12.44140625" bestFit="1" customWidth="1"/>
    <col min="3" max="3" width="11.109375" customWidth="1"/>
    <col min="4" max="4" width="16.6640625" customWidth="1"/>
  </cols>
  <sheetData>
    <row r="1" spans="1:4" ht="17.399999999999999" x14ac:dyDescent="0.3">
      <c r="A1" s="78" t="s">
        <v>388</v>
      </c>
    </row>
    <row r="2" spans="1:4" x14ac:dyDescent="0.25">
      <c r="A2" s="344" t="s">
        <v>398</v>
      </c>
    </row>
    <row r="3" spans="1:4" x14ac:dyDescent="0.25">
      <c r="A3" s="344" t="s">
        <v>399</v>
      </c>
    </row>
    <row r="4" spans="1:4" x14ac:dyDescent="0.25">
      <c r="A4" s="344" t="s">
        <v>400</v>
      </c>
    </row>
    <row r="5" spans="1:4" ht="13.8" thickBot="1" x14ac:dyDescent="0.3"/>
    <row r="6" spans="1:4" ht="13.8" x14ac:dyDescent="0.25">
      <c r="A6" s="409" t="s">
        <v>396</v>
      </c>
      <c r="B6" s="410"/>
      <c r="C6" s="410"/>
      <c r="D6" s="411"/>
    </row>
    <row r="7" spans="1:4" ht="31.8" customHeight="1" x14ac:dyDescent="0.25">
      <c r="A7" s="428" t="s">
        <v>401</v>
      </c>
      <c r="B7" s="429"/>
      <c r="C7" s="429"/>
      <c r="D7" s="430"/>
    </row>
    <row r="8" spans="1:4" x14ac:dyDescent="0.25">
      <c r="A8" s="412"/>
      <c r="B8" s="414" t="s">
        <v>391</v>
      </c>
      <c r="C8" t="s">
        <v>392</v>
      </c>
      <c r="D8" s="413"/>
    </row>
    <row r="9" spans="1:4" x14ac:dyDescent="0.25">
      <c r="A9" s="412" t="s">
        <v>389</v>
      </c>
      <c r="B9" s="415">
        <v>82000</v>
      </c>
      <c r="C9" s="416">
        <f>B9/B12</f>
        <v>0.76635514018691586</v>
      </c>
      <c r="D9" s="413"/>
    </row>
    <row r="10" spans="1:4" x14ac:dyDescent="0.25">
      <c r="A10" s="412" t="s">
        <v>390</v>
      </c>
      <c r="B10" s="415">
        <v>25000</v>
      </c>
      <c r="C10" s="416">
        <f>B10/B12</f>
        <v>0.23364485981308411</v>
      </c>
      <c r="D10" s="413"/>
    </row>
    <row r="11" spans="1:4" x14ac:dyDescent="0.25">
      <c r="A11" s="412" t="s">
        <v>393</v>
      </c>
      <c r="B11" s="407">
        <v>0</v>
      </c>
      <c r="C11" s="420">
        <f>B11/B12</f>
        <v>0</v>
      </c>
      <c r="D11" s="413"/>
    </row>
    <row r="12" spans="1:4" ht="13.8" thickBot="1" x14ac:dyDescent="0.3">
      <c r="A12" s="417" t="s">
        <v>394</v>
      </c>
      <c r="B12" s="418">
        <f>SUM(B9:B11)</f>
        <v>107000</v>
      </c>
      <c r="C12" s="442">
        <f>SUM(C9:C11)</f>
        <v>1</v>
      </c>
      <c r="D12" s="419"/>
    </row>
    <row r="13" spans="1:4" ht="13.8" thickBot="1" x14ac:dyDescent="0.3"/>
    <row r="14" spans="1:4" ht="13.8" x14ac:dyDescent="0.25">
      <c r="A14" s="409" t="s">
        <v>397</v>
      </c>
      <c r="B14" s="410"/>
      <c r="C14" s="410"/>
      <c r="D14" s="411"/>
    </row>
    <row r="15" spans="1:4" ht="30.6" customHeight="1" x14ac:dyDescent="0.25">
      <c r="A15" s="428" t="s">
        <v>402</v>
      </c>
      <c r="B15" s="431"/>
      <c r="C15" s="431"/>
      <c r="D15" s="432"/>
    </row>
    <row r="16" spans="1:4" x14ac:dyDescent="0.25">
      <c r="A16" s="412"/>
      <c r="B16" t="s">
        <v>391</v>
      </c>
      <c r="C16" s="414" t="s">
        <v>392</v>
      </c>
      <c r="D16" s="413"/>
    </row>
    <row r="17" spans="1:4" x14ac:dyDescent="0.25">
      <c r="A17" s="412" t="s">
        <v>389</v>
      </c>
      <c r="B17" s="421">
        <f>B20*C17</f>
        <v>25000</v>
      </c>
      <c r="C17" s="422">
        <v>0.25</v>
      </c>
      <c r="D17" s="413"/>
    </row>
    <row r="18" spans="1:4" x14ac:dyDescent="0.25">
      <c r="A18" s="412" t="s">
        <v>390</v>
      </c>
      <c r="B18" s="421">
        <f>B20*C18</f>
        <v>75000</v>
      </c>
      <c r="C18" s="422">
        <v>0.75</v>
      </c>
      <c r="D18" s="413"/>
    </row>
    <row r="19" spans="1:4" x14ac:dyDescent="0.25">
      <c r="A19" s="412" t="s">
        <v>393</v>
      </c>
      <c r="B19" s="408">
        <f>B20*C19</f>
        <v>0</v>
      </c>
      <c r="C19" s="422">
        <v>0</v>
      </c>
      <c r="D19" s="413"/>
    </row>
    <row r="20" spans="1:4" ht="13.8" thickBot="1" x14ac:dyDescent="0.3">
      <c r="A20" s="417" t="s">
        <v>394</v>
      </c>
      <c r="B20" s="423">
        <v>100000</v>
      </c>
      <c r="C20" s="442">
        <f>SUM(C17:C19)</f>
        <v>1</v>
      </c>
      <c r="D20" s="424" t="s">
        <v>395</v>
      </c>
    </row>
  </sheetData>
  <mergeCells count="2">
    <mergeCell ref="A7:D7"/>
    <mergeCell ref="A15:D15"/>
  </mergeCells>
  <conditionalFormatting sqref="C20">
    <cfRule type="cellIs" dxfId="0" priority="1" operator="notEqual">
      <formula>100%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24686-2A09-46A6-8A35-7EDCF36E24C8}">
  <sheetPr>
    <tabColor theme="7" tint="0.39997558519241921"/>
  </sheetPr>
  <dimension ref="A1:L34"/>
  <sheetViews>
    <sheetView tabSelected="1" zoomScaleNormal="100" workbookViewId="0">
      <selection activeCell="A2" sqref="A2"/>
    </sheetView>
  </sheetViews>
  <sheetFormatPr defaultColWidth="9.109375" defaultRowHeight="11.4" x14ac:dyDescent="0.2"/>
  <cols>
    <col min="1" max="1" width="55.109375" style="32" customWidth="1"/>
    <col min="2" max="2" width="9.44140625" style="32" customWidth="1"/>
    <col min="3" max="3" width="9.88671875" style="32" customWidth="1"/>
    <col min="4" max="4" width="3.44140625" style="32" customWidth="1"/>
    <col min="5" max="5" width="1.5546875" style="32" customWidth="1"/>
    <col min="6" max="6" width="45.44140625" style="32" customWidth="1"/>
    <col min="7" max="7" width="9" style="32" customWidth="1"/>
    <col min="8" max="8" width="9.88671875" style="32" customWidth="1"/>
    <col min="9" max="9" width="3.109375" style="32" customWidth="1"/>
    <col min="10" max="16384" width="9.109375" style="32"/>
  </cols>
  <sheetData>
    <row r="1" spans="1:12" ht="17.399999999999999" x14ac:dyDescent="0.3">
      <c r="A1" s="78" t="s">
        <v>350</v>
      </c>
    </row>
    <row r="3" spans="1:12" ht="30" customHeight="1" x14ac:dyDescent="0.3">
      <c r="A3" s="332" t="s">
        <v>20</v>
      </c>
      <c r="F3" s="332" t="s">
        <v>21</v>
      </c>
    </row>
    <row r="4" spans="1:12" ht="12" x14ac:dyDescent="0.25">
      <c r="A4" s="34"/>
      <c r="B4" s="35" t="s">
        <v>220</v>
      </c>
      <c r="C4" s="36" t="s">
        <v>222</v>
      </c>
      <c r="F4" s="34"/>
      <c r="G4" s="35" t="s">
        <v>220</v>
      </c>
      <c r="H4" s="36" t="s">
        <v>222</v>
      </c>
    </row>
    <row r="5" spans="1:12" x14ac:dyDescent="0.2">
      <c r="A5" s="37" t="s">
        <v>72</v>
      </c>
      <c r="B5" s="38">
        <v>100000</v>
      </c>
      <c r="C5" s="39">
        <v>100000</v>
      </c>
      <c r="F5" s="37" t="s">
        <v>73</v>
      </c>
      <c r="G5" s="38">
        <v>50000</v>
      </c>
      <c r="H5" s="39">
        <v>50000</v>
      </c>
    </row>
    <row r="6" spans="1:12" x14ac:dyDescent="0.2">
      <c r="A6" s="37" t="s">
        <v>351</v>
      </c>
      <c r="B6" s="40">
        <f>-C22</f>
        <v>-7557</v>
      </c>
      <c r="C6" s="41">
        <f>-C22</f>
        <v>-7557</v>
      </c>
      <c r="F6" s="37" t="str">
        <f>A10</f>
        <v>FICA (Salary X .0765)</v>
      </c>
      <c r="G6" s="38">
        <f>G5*C18</f>
        <v>3825</v>
      </c>
      <c r="H6" s="39">
        <f>H5*C18</f>
        <v>3825</v>
      </c>
    </row>
    <row r="7" spans="1:12" x14ac:dyDescent="0.2">
      <c r="A7" s="37" t="s">
        <v>12</v>
      </c>
      <c r="B7" s="38">
        <f>SUM(B5:B6)</f>
        <v>92443</v>
      </c>
      <c r="C7" s="39">
        <f>SUM(C5:C6)</f>
        <v>92443</v>
      </c>
      <c r="F7" s="37" t="str">
        <f>A11</f>
        <v>Retirement (Salary x .2502 for SHRA or .1409 for EHRA)</v>
      </c>
      <c r="G7" s="38">
        <f>G5*C19</f>
        <v>12509.999999999998</v>
      </c>
      <c r="H7" s="39">
        <f>H5*C20</f>
        <v>7045</v>
      </c>
    </row>
    <row r="8" spans="1:12" x14ac:dyDescent="0.2">
      <c r="A8" s="37"/>
      <c r="B8" s="38"/>
      <c r="C8" s="39"/>
      <c r="F8" s="37" t="s">
        <v>0</v>
      </c>
      <c r="G8" s="40">
        <f>C22</f>
        <v>7557</v>
      </c>
      <c r="H8" s="41">
        <f>C22</f>
        <v>7557</v>
      </c>
    </row>
    <row r="9" spans="1:12" x14ac:dyDescent="0.2">
      <c r="A9" s="37" t="s">
        <v>76</v>
      </c>
      <c r="B9" s="38">
        <f>B7/(1+C18+C19)</f>
        <v>69678.902540137176</v>
      </c>
      <c r="C9" s="39">
        <f>C7/(1+C18+C20)</f>
        <v>75934.779037292596</v>
      </c>
      <c r="F9" s="37"/>
      <c r="G9" s="38"/>
      <c r="H9" s="39"/>
    </row>
    <row r="10" spans="1:12" ht="12" x14ac:dyDescent="0.25">
      <c r="A10" s="37" t="s">
        <v>77</v>
      </c>
      <c r="B10" s="38">
        <f>B9*C18</f>
        <v>5330.4360443204941</v>
      </c>
      <c r="C10" s="39">
        <f>C9*C18</f>
        <v>5809.0105963528831</v>
      </c>
      <c r="F10" s="328" t="s">
        <v>90</v>
      </c>
      <c r="G10" s="329">
        <f>SUM(G5:G8)</f>
        <v>73892</v>
      </c>
      <c r="H10" s="330">
        <f>SUM(H5:H8)</f>
        <v>68427</v>
      </c>
    </row>
    <row r="11" spans="1:12" x14ac:dyDescent="0.2">
      <c r="A11" s="37" t="s">
        <v>356</v>
      </c>
      <c r="B11" s="38">
        <f>B9*C19</f>
        <v>17433.661415542319</v>
      </c>
      <c r="C11" s="39">
        <f>C9*C20</f>
        <v>10699.210366354526</v>
      </c>
      <c r="F11" s="37"/>
      <c r="H11" s="42"/>
    </row>
    <row r="12" spans="1:12" x14ac:dyDescent="0.2">
      <c r="A12" s="37" t="s">
        <v>0</v>
      </c>
      <c r="B12" s="40">
        <f>C22</f>
        <v>7557</v>
      </c>
      <c r="C12" s="41">
        <f>C22</f>
        <v>7557</v>
      </c>
      <c r="F12" s="37"/>
      <c r="H12" s="42"/>
    </row>
    <row r="13" spans="1:12" x14ac:dyDescent="0.2">
      <c r="A13" s="43" t="s">
        <v>13</v>
      </c>
      <c r="B13" s="44">
        <f>SUM(B9:B12)</f>
        <v>99999.999999999985</v>
      </c>
      <c r="C13" s="45">
        <f>SUM(C9:C12)</f>
        <v>100000</v>
      </c>
      <c r="F13" s="43"/>
      <c r="G13" s="46"/>
      <c r="H13" s="47"/>
    </row>
    <row r="14" spans="1:12" x14ac:dyDescent="0.2">
      <c r="L14" s="260"/>
    </row>
    <row r="15" spans="1:12" ht="13.2" x14ac:dyDescent="0.25">
      <c r="A15" s="219" t="s">
        <v>352</v>
      </c>
      <c r="B15" s="166"/>
      <c r="C15" s="167"/>
      <c r="F15" s="106" t="s">
        <v>93</v>
      </c>
      <c r="G15"/>
      <c r="H15"/>
    </row>
    <row r="16" spans="1:12" ht="12" x14ac:dyDescent="0.25">
      <c r="A16" s="168"/>
      <c r="B16" s="169"/>
      <c r="C16" s="170"/>
      <c r="F16" s="34"/>
      <c r="G16" s="35" t="s">
        <v>220</v>
      </c>
      <c r="H16" s="36" t="s">
        <v>222</v>
      </c>
      <c r="L16" s="260"/>
    </row>
    <row r="17" spans="1:8" ht="12" x14ac:dyDescent="0.25">
      <c r="A17" s="171" t="s">
        <v>1</v>
      </c>
      <c r="B17" s="172" t="s">
        <v>2</v>
      </c>
      <c r="C17" s="173" t="s">
        <v>3</v>
      </c>
      <c r="F17" s="37" t="s">
        <v>73</v>
      </c>
      <c r="G17" s="38">
        <v>50000</v>
      </c>
      <c r="H17" s="107">
        <v>1000</v>
      </c>
    </row>
    <row r="18" spans="1:8" x14ac:dyDescent="0.2">
      <c r="A18" s="174" t="s">
        <v>4</v>
      </c>
      <c r="B18" s="175">
        <v>919150</v>
      </c>
      <c r="C18" s="176">
        <v>7.6499999999999999E-2</v>
      </c>
      <c r="F18" s="37" t="str">
        <f>A10</f>
        <v>FICA (Salary X .0765)</v>
      </c>
      <c r="G18" s="38">
        <f>G17*C18</f>
        <v>3825</v>
      </c>
      <c r="H18" s="107">
        <f>H17*C18</f>
        <v>76.5</v>
      </c>
    </row>
    <row r="19" spans="1:8" x14ac:dyDescent="0.2">
      <c r="A19" s="174" t="s">
        <v>57</v>
      </c>
      <c r="B19" s="175">
        <v>919050</v>
      </c>
      <c r="C19" s="176">
        <v>0.25019999999999998</v>
      </c>
      <c r="F19" s="37" t="s">
        <v>357</v>
      </c>
      <c r="G19" s="38">
        <f>G17*C21</f>
        <v>15010.000000000002</v>
      </c>
      <c r="H19" s="107">
        <f>H17*C21</f>
        <v>300.20000000000005</v>
      </c>
    </row>
    <row r="20" spans="1:8" x14ac:dyDescent="0.2">
      <c r="A20" s="174" t="s">
        <v>7</v>
      </c>
      <c r="B20" s="175">
        <v>918000</v>
      </c>
      <c r="C20" s="176">
        <v>0.1409</v>
      </c>
      <c r="F20" s="37" t="s">
        <v>0</v>
      </c>
      <c r="G20" s="40">
        <f>C22</f>
        <v>7557</v>
      </c>
      <c r="H20" s="100">
        <f>C22</f>
        <v>7557</v>
      </c>
    </row>
    <row r="21" spans="1:8" x14ac:dyDescent="0.2">
      <c r="A21" s="174" t="s">
        <v>86</v>
      </c>
      <c r="B21" s="175">
        <v>919100</v>
      </c>
      <c r="C21" s="176">
        <v>0.30020000000000002</v>
      </c>
      <c r="F21" s="37" t="s">
        <v>95</v>
      </c>
      <c r="G21" s="38">
        <f>SUM(G17:G20)</f>
        <v>76392</v>
      </c>
      <c r="H21" s="107">
        <f>SUM(H17:H20)</f>
        <v>8933.7000000000007</v>
      </c>
    </row>
    <row r="22" spans="1:8" x14ac:dyDescent="0.2">
      <c r="A22" s="88" t="s">
        <v>246</v>
      </c>
      <c r="B22" s="175">
        <v>917000</v>
      </c>
      <c r="C22" s="89">
        <v>7557</v>
      </c>
      <c r="D22" s="32" t="s">
        <v>22</v>
      </c>
      <c r="F22" s="37"/>
      <c r="G22" s="38"/>
      <c r="H22" s="42"/>
    </row>
    <row r="23" spans="1:8" x14ac:dyDescent="0.2">
      <c r="A23" s="174"/>
      <c r="B23" s="169"/>
      <c r="C23" s="170"/>
      <c r="F23" s="153"/>
      <c r="G23" s="154"/>
      <c r="H23" s="155"/>
    </row>
    <row r="24" spans="1:8" x14ac:dyDescent="0.2">
      <c r="A24" s="174" t="s">
        <v>221</v>
      </c>
      <c r="B24" s="178">
        <f>SUM(C18+C19)</f>
        <v>0.32669999999999999</v>
      </c>
      <c r="C24" s="170"/>
      <c r="F24" s="37" t="s">
        <v>72</v>
      </c>
      <c r="G24" s="38">
        <v>50000</v>
      </c>
      <c r="H24" s="39">
        <v>50000</v>
      </c>
    </row>
    <row r="25" spans="1:8" x14ac:dyDescent="0.2">
      <c r="A25" s="174" t="s">
        <v>223</v>
      </c>
      <c r="B25" s="178">
        <f>C18+C20</f>
        <v>0.21739999999999998</v>
      </c>
      <c r="C25" s="170"/>
      <c r="F25" s="37" t="s">
        <v>353</v>
      </c>
      <c r="G25" s="40">
        <f>-C22</f>
        <v>-7557</v>
      </c>
      <c r="H25" s="41">
        <f>-C22</f>
        <v>-7557</v>
      </c>
    </row>
    <row r="26" spans="1:8" x14ac:dyDescent="0.2">
      <c r="A26" s="179" t="s">
        <v>185</v>
      </c>
      <c r="B26" s="180">
        <f>SUM(C18+C21)</f>
        <v>0.37670000000000003</v>
      </c>
      <c r="C26" s="181"/>
      <c r="F26" s="37" t="s">
        <v>12</v>
      </c>
      <c r="G26" s="38">
        <f>SUM(G24:G25)</f>
        <v>42443</v>
      </c>
      <c r="H26" s="39">
        <f>SUM(H24:H25)</f>
        <v>42443</v>
      </c>
    </row>
    <row r="27" spans="1:8" x14ac:dyDescent="0.2">
      <c r="F27" s="37"/>
      <c r="G27" s="38"/>
      <c r="H27" s="42"/>
    </row>
    <row r="28" spans="1:8" x14ac:dyDescent="0.2">
      <c r="A28" s="32" t="s">
        <v>377</v>
      </c>
      <c r="F28" s="37" t="s">
        <v>76</v>
      </c>
      <c r="G28" s="38">
        <f>G26/(1+C18+C21)</f>
        <v>30829.519866347062</v>
      </c>
      <c r="H28" s="39">
        <f>H26/(1+C18+C21)</f>
        <v>30829.519866347062</v>
      </c>
    </row>
    <row r="29" spans="1:8" x14ac:dyDescent="0.2">
      <c r="F29" s="37" t="str">
        <f>A10</f>
        <v>FICA (Salary X .0765)</v>
      </c>
      <c r="G29" s="38">
        <f>G28*C18</f>
        <v>2358.45826977555</v>
      </c>
      <c r="H29" s="39">
        <f>H28*C18</f>
        <v>2358.45826977555</v>
      </c>
    </row>
    <row r="30" spans="1:8" x14ac:dyDescent="0.2">
      <c r="A30" s="32" t="s">
        <v>218</v>
      </c>
      <c r="F30" s="37" t="str">
        <f>F19</f>
        <v>LEO Retirement (Salary x .3002 for both EHRA &amp; SHRA)</v>
      </c>
      <c r="G30" s="38">
        <f>G28*C21</f>
        <v>9255.0218638773895</v>
      </c>
      <c r="H30" s="39">
        <f>H28*C21</f>
        <v>9255.0218638773895</v>
      </c>
    </row>
    <row r="31" spans="1:8" x14ac:dyDescent="0.2">
      <c r="F31" s="37" t="s">
        <v>0</v>
      </c>
      <c r="G31" s="40">
        <f>C22</f>
        <v>7557</v>
      </c>
      <c r="H31" s="218">
        <f>C22</f>
        <v>7557</v>
      </c>
    </row>
    <row r="32" spans="1:8" ht="26.4" x14ac:dyDescent="0.25">
      <c r="A32" s="259" t="s">
        <v>219</v>
      </c>
      <c r="F32" s="43" t="s">
        <v>13</v>
      </c>
      <c r="G32" s="44">
        <f>SUM(G28:G31)</f>
        <v>50000</v>
      </c>
      <c r="H32" s="45">
        <f>SUM(H28:H31)</f>
        <v>50000</v>
      </c>
    </row>
    <row r="33" spans="1:8" x14ac:dyDescent="0.2">
      <c r="H33" s="157"/>
    </row>
    <row r="34" spans="1:8" ht="13.2" x14ac:dyDescent="0.25">
      <c r="A34" s="324"/>
    </row>
  </sheetData>
  <hyperlinks>
    <hyperlink ref="A32" r:id="rId1" xr:uid="{9836B084-546A-4872-8DFF-5F695DA31A3C}"/>
  </hyperlinks>
  <pageMargins left="0.75" right="0.75" top="1" bottom="1" header="0.5" footer="0.5"/>
  <pageSetup scale="85" orientation="landscape" cellComments="asDisplayed" r:id="rId2"/>
  <headerFooter alignWithMargins="0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490EA-FEA4-4195-B7D8-E7ABFA95C158}">
  <sheetPr>
    <tabColor rgb="FF92D050"/>
  </sheetPr>
  <dimension ref="A1:K33"/>
  <sheetViews>
    <sheetView zoomScaleNormal="100" workbookViewId="0">
      <selection activeCell="L9" sqref="L9"/>
    </sheetView>
  </sheetViews>
  <sheetFormatPr defaultColWidth="9.109375" defaultRowHeight="11.4" x14ac:dyDescent="0.2"/>
  <cols>
    <col min="1" max="1" width="55.5546875" style="32" customWidth="1"/>
    <col min="2" max="2" width="9.5546875" style="32" bestFit="1" customWidth="1"/>
    <col min="3" max="3" width="9" style="32" bestFit="1" customWidth="1"/>
    <col min="4" max="4" width="3.44140625" style="32" customWidth="1"/>
    <col min="5" max="5" width="53.44140625" style="32" customWidth="1"/>
    <col min="6" max="6" width="9.88671875" style="32" customWidth="1"/>
    <col min="7" max="7" width="9.5546875" style="32" customWidth="1"/>
    <col min="8" max="8" width="3.88671875" style="32" customWidth="1"/>
    <col min="9" max="9" width="52.44140625" style="32" customWidth="1"/>
    <col min="10" max="10" width="9.6640625" style="32" bestFit="1" customWidth="1"/>
    <col min="11" max="11" width="9.33203125" style="32" bestFit="1" customWidth="1"/>
    <col min="12" max="16384" width="9.109375" style="32"/>
  </cols>
  <sheetData>
    <row r="1" spans="1:11" ht="17.399999999999999" x14ac:dyDescent="0.3">
      <c r="A1" s="78" t="s">
        <v>354</v>
      </c>
    </row>
    <row r="3" spans="1:11" x14ac:dyDescent="0.2">
      <c r="A3" s="33"/>
    </row>
    <row r="4" spans="1:11" ht="15.6" x14ac:dyDescent="0.3">
      <c r="A4" s="331" t="s">
        <v>20</v>
      </c>
      <c r="B4" s="120"/>
      <c r="C4" s="120"/>
      <c r="E4" s="332" t="s">
        <v>21</v>
      </c>
      <c r="I4" s="106" t="s">
        <v>93</v>
      </c>
      <c r="J4"/>
      <c r="K4"/>
    </row>
    <row r="5" spans="1:11" ht="12" x14ac:dyDescent="0.25">
      <c r="A5" s="122"/>
      <c r="B5" s="123" t="s">
        <v>220</v>
      </c>
      <c r="C5" s="124" t="s">
        <v>222</v>
      </c>
      <c r="E5" s="34"/>
      <c r="F5" s="35" t="s">
        <v>220</v>
      </c>
      <c r="G5" s="36" t="s">
        <v>222</v>
      </c>
      <c r="I5" s="34"/>
      <c r="J5" s="35" t="s">
        <v>220</v>
      </c>
      <c r="K5" s="36" t="s">
        <v>222</v>
      </c>
    </row>
    <row r="6" spans="1:11" ht="12" x14ac:dyDescent="0.25">
      <c r="A6" s="125" t="s">
        <v>335</v>
      </c>
      <c r="B6" s="126">
        <v>100000</v>
      </c>
      <c r="C6" s="127">
        <v>100000</v>
      </c>
      <c r="E6" s="37" t="s">
        <v>334</v>
      </c>
      <c r="F6" s="38">
        <v>100000</v>
      </c>
      <c r="G6" s="39">
        <v>100000</v>
      </c>
      <c r="I6" s="37" t="s">
        <v>73</v>
      </c>
      <c r="J6" s="38">
        <v>50000</v>
      </c>
      <c r="K6" s="107">
        <v>50000</v>
      </c>
    </row>
    <row r="7" spans="1:11" x14ac:dyDescent="0.2">
      <c r="A7" s="125" t="str">
        <f>' FY23-24 GF Calculator'!A6</f>
        <v>Take out the Medical (Flat amount for FY 23-24)</v>
      </c>
      <c r="B7" s="128">
        <f>-C24</f>
        <v>-7557</v>
      </c>
      <c r="C7" s="129">
        <f>-C24</f>
        <v>-7557</v>
      </c>
      <c r="E7" s="125" t="s">
        <v>102</v>
      </c>
      <c r="F7" s="38">
        <f>F6*C20</f>
        <v>7650</v>
      </c>
      <c r="G7" s="39">
        <f>G6*C20</f>
        <v>7650</v>
      </c>
      <c r="I7" s="125" t="s">
        <v>102</v>
      </c>
      <c r="J7" s="38">
        <f>J6*C20</f>
        <v>3825</v>
      </c>
      <c r="K7" s="107">
        <f>K6*C20</f>
        <v>3825</v>
      </c>
    </row>
    <row r="8" spans="1:11" x14ac:dyDescent="0.2">
      <c r="A8" s="125" t="s">
        <v>12</v>
      </c>
      <c r="B8" s="126">
        <f>SUM(B6:B7)</f>
        <v>92443</v>
      </c>
      <c r="C8" s="127">
        <f>SUM(C6:C7)</f>
        <v>92443</v>
      </c>
      <c r="E8" s="37" t="str">
        <f>A12</f>
        <v>Retirement (Salary x .2502 for SHRA or .1409 for EHRA)</v>
      </c>
      <c r="F8" s="38">
        <f>F6*C21</f>
        <v>25019.999999999996</v>
      </c>
      <c r="G8" s="39">
        <f>G6*C22</f>
        <v>14090</v>
      </c>
      <c r="I8" s="37" t="str">
        <f>' FY23-24 GF Calculator'!F19</f>
        <v>LEO Retirement (Salary x .3002 for both EHRA &amp; SHRA)</v>
      </c>
      <c r="J8" s="38">
        <f>J6*C23</f>
        <v>15010.000000000002</v>
      </c>
      <c r="K8" s="107">
        <f>K6*C23</f>
        <v>15010.000000000002</v>
      </c>
    </row>
    <row r="9" spans="1:11" x14ac:dyDescent="0.2">
      <c r="A9" s="125"/>
      <c r="B9" s="126"/>
      <c r="C9" s="127"/>
      <c r="E9" s="125" t="str">
        <f>A13</f>
        <v>Claims Rate Fringe Benefits (Salary x .0438 for both SHRA &amp; EHRA)</v>
      </c>
      <c r="F9" s="38">
        <f>F6*C25</f>
        <v>4380</v>
      </c>
      <c r="G9" s="39">
        <f>G6*C25</f>
        <v>4380</v>
      </c>
      <c r="I9" s="125" t="str">
        <f>A13</f>
        <v>Claims Rate Fringe Benefits (Salary x .0438 for both SHRA &amp; EHRA)</v>
      </c>
      <c r="J9" s="38">
        <f>J6*C25</f>
        <v>2190</v>
      </c>
      <c r="K9" s="39">
        <f>K6*C25</f>
        <v>2190</v>
      </c>
    </row>
    <row r="10" spans="1:11" x14ac:dyDescent="0.2">
      <c r="A10" s="125" t="s">
        <v>101</v>
      </c>
      <c r="B10" s="126">
        <f>B8/(1+C20+C21+C25)</f>
        <v>67452.024808464063</v>
      </c>
      <c r="C10" s="127">
        <f>C8/(1+C20+C22+C25)</f>
        <v>73297.653028861401</v>
      </c>
      <c r="E10" s="37" t="s">
        <v>0</v>
      </c>
      <c r="F10" s="40">
        <f>C24</f>
        <v>7557</v>
      </c>
      <c r="G10" s="41">
        <f>C24</f>
        <v>7557</v>
      </c>
      <c r="I10" s="37" t="s">
        <v>0</v>
      </c>
      <c r="J10" s="40">
        <f>C24</f>
        <v>7557</v>
      </c>
      <c r="K10" s="100">
        <f>C24</f>
        <v>7557</v>
      </c>
    </row>
    <row r="11" spans="1:11" x14ac:dyDescent="0.2">
      <c r="A11" s="125" t="s">
        <v>102</v>
      </c>
      <c r="B11" s="126">
        <f>B10*C20</f>
        <v>5160.0798978475004</v>
      </c>
      <c r="C11" s="127">
        <f>C10*C20</f>
        <v>5607.2704567078972</v>
      </c>
      <c r="E11" s="37"/>
      <c r="F11" s="38"/>
      <c r="G11" s="39"/>
      <c r="I11" s="37" t="s">
        <v>95</v>
      </c>
      <c r="J11" s="38">
        <f>SUM(J6:J10)</f>
        <v>78582</v>
      </c>
      <c r="K11" s="107">
        <f>SUM(K6:K10)</f>
        <v>78582</v>
      </c>
    </row>
    <row r="12" spans="1:11" ht="12" x14ac:dyDescent="0.25">
      <c r="A12" s="37" t="str">
        <f>' FY23-24 GF Calculator'!A11</f>
        <v>Retirement (Salary x .2502 for SHRA or .1409 for EHRA)</v>
      </c>
      <c r="B12" s="38">
        <f>B10*C21</f>
        <v>16876.496607077708</v>
      </c>
      <c r="C12" s="39">
        <f>C10*C22</f>
        <v>10327.639311766572</v>
      </c>
      <c r="E12" s="328" t="s">
        <v>90</v>
      </c>
      <c r="F12" s="329">
        <f>SUM(F6:F10)</f>
        <v>144607</v>
      </c>
      <c r="G12" s="330">
        <f>SUM(G6:G10)</f>
        <v>133677</v>
      </c>
      <c r="I12" s="37"/>
      <c r="J12" s="38"/>
      <c r="K12" s="42"/>
    </row>
    <row r="13" spans="1:11" x14ac:dyDescent="0.2">
      <c r="A13" s="125" t="s">
        <v>403</v>
      </c>
      <c r="B13" s="126">
        <f>B10*C25</f>
        <v>2954.3986866107257</v>
      </c>
      <c r="C13" s="127">
        <f>C10*C25</f>
        <v>3210.4372026641295</v>
      </c>
      <c r="E13" s="37"/>
      <c r="G13" s="42"/>
      <c r="I13" s="153"/>
      <c r="J13" s="154"/>
      <c r="K13" s="155"/>
    </row>
    <row r="14" spans="1:11" ht="12" x14ac:dyDescent="0.25">
      <c r="A14" s="125" t="s">
        <v>0</v>
      </c>
      <c r="B14" s="128">
        <f>C24</f>
        <v>7557</v>
      </c>
      <c r="C14" s="129">
        <f>C24</f>
        <v>7557</v>
      </c>
      <c r="E14" s="325"/>
      <c r="F14" s="326"/>
      <c r="G14" s="327"/>
      <c r="I14" s="37" t="s">
        <v>72</v>
      </c>
      <c r="J14" s="38">
        <v>50000</v>
      </c>
      <c r="K14" s="39">
        <v>50000</v>
      </c>
    </row>
    <row r="15" spans="1:11" x14ac:dyDescent="0.2">
      <c r="A15" s="130" t="s">
        <v>13</v>
      </c>
      <c r="B15" s="131">
        <f>SUM(B10:B14)</f>
        <v>100000.00000000001</v>
      </c>
      <c r="C15" s="132">
        <f>SUM(C10:C14)</f>
        <v>100000</v>
      </c>
      <c r="I15" s="37" t="s">
        <v>353</v>
      </c>
      <c r="J15" s="40">
        <f>-C24</f>
        <v>-7557</v>
      </c>
      <c r="K15" s="41">
        <f>-C24</f>
        <v>-7557</v>
      </c>
    </row>
    <row r="16" spans="1:11" x14ac:dyDescent="0.2">
      <c r="B16" s="40"/>
      <c r="I16" s="37" t="s">
        <v>12</v>
      </c>
      <c r="J16" s="38">
        <f>SUM(J14:J15)</f>
        <v>42443</v>
      </c>
      <c r="K16" s="39">
        <f>SUM(K14:K15)</f>
        <v>42443</v>
      </c>
    </row>
    <row r="17" spans="1:11" ht="13.2" x14ac:dyDescent="0.25">
      <c r="A17" s="220" t="str">
        <f>' FY23-24 GF Calculator'!A15</f>
        <v>FY 23-24 BENEFITS RATES (PERMANENT EMPLOYEES)</v>
      </c>
      <c r="B17" s="139"/>
      <c r="C17" s="140"/>
      <c r="I17" s="37"/>
      <c r="J17" s="38"/>
      <c r="K17" s="42"/>
    </row>
    <row r="18" spans="1:11" ht="12" x14ac:dyDescent="0.25">
      <c r="A18" s="141"/>
      <c r="B18" s="142"/>
      <c r="C18" s="143"/>
      <c r="I18" s="37" t="s">
        <v>76</v>
      </c>
      <c r="J18" s="38">
        <f>J16/(1+C20+C23+C25)</f>
        <v>29878.915874692007</v>
      </c>
      <c r="K18" s="39">
        <f>K16/(1+C20+C23+C25)</f>
        <v>29878.915874692007</v>
      </c>
    </row>
    <row r="19" spans="1:11" ht="12" x14ac:dyDescent="0.25">
      <c r="A19" s="144" t="s">
        <v>1</v>
      </c>
      <c r="B19" s="145" t="s">
        <v>2</v>
      </c>
      <c r="C19" s="146" t="s">
        <v>3</v>
      </c>
      <c r="I19" s="125" t="s">
        <v>102</v>
      </c>
      <c r="J19" s="38">
        <f>J18*C20</f>
        <v>2285.7370644139387</v>
      </c>
      <c r="K19" s="39">
        <f>K18*C20</f>
        <v>2285.7370644139387</v>
      </c>
    </row>
    <row r="20" spans="1:11" x14ac:dyDescent="0.2">
      <c r="A20" s="147" t="s">
        <v>4</v>
      </c>
      <c r="B20" s="148">
        <v>919150</v>
      </c>
      <c r="C20" s="161">
        <f>' FY23-24 GF Calculator'!C18</f>
        <v>7.6499999999999999E-2</v>
      </c>
      <c r="I20" s="37" t="str">
        <f>I8</f>
        <v>LEO Retirement (Salary x .3002 for both EHRA &amp; SHRA)</v>
      </c>
      <c r="J20" s="38">
        <f>J18*C23</f>
        <v>8969.6505455825409</v>
      </c>
      <c r="K20" s="39">
        <f>K18*C23</f>
        <v>8969.6505455825409</v>
      </c>
    </row>
    <row r="21" spans="1:11" x14ac:dyDescent="0.2">
      <c r="A21" s="147" t="s">
        <v>57</v>
      </c>
      <c r="B21" s="148">
        <v>919050</v>
      </c>
      <c r="C21" s="161">
        <f>' FY23-24 GF Calculator'!C19</f>
        <v>0.25019999999999998</v>
      </c>
      <c r="I21" s="125" t="str">
        <f>A13</f>
        <v>Claims Rate Fringe Benefits (Salary x .0438 for both SHRA &amp; EHRA)</v>
      </c>
      <c r="J21" s="38">
        <f>J18*C25</f>
        <v>1308.69651531151</v>
      </c>
      <c r="K21" s="39">
        <f>K18*C25</f>
        <v>1308.69651531151</v>
      </c>
    </row>
    <row r="22" spans="1:11" x14ac:dyDescent="0.2">
      <c r="A22" s="147" t="s">
        <v>7</v>
      </c>
      <c r="B22" s="148">
        <v>918000</v>
      </c>
      <c r="C22" s="161">
        <f>' FY23-24 GF Calculator'!C20</f>
        <v>0.1409</v>
      </c>
      <c r="I22" s="37" t="s">
        <v>0</v>
      </c>
      <c r="J22" s="40">
        <f>C24</f>
        <v>7557</v>
      </c>
      <c r="K22" s="218">
        <f>C24</f>
        <v>7557</v>
      </c>
    </row>
    <row r="23" spans="1:11" x14ac:dyDescent="0.2">
      <c r="A23" s="147" t="s">
        <v>86</v>
      </c>
      <c r="B23" s="148">
        <v>919100</v>
      </c>
      <c r="C23" s="161">
        <f>' FY23-24 GF Calculator'!C21</f>
        <v>0.30020000000000002</v>
      </c>
      <c r="I23" s="43" t="s">
        <v>13</v>
      </c>
      <c r="J23" s="44">
        <f>SUM(J18:J22)</f>
        <v>49999.999999999993</v>
      </c>
      <c r="K23" s="45">
        <f>SUM(K18:K22)</f>
        <v>49999.999999999993</v>
      </c>
    </row>
    <row r="24" spans="1:11" x14ac:dyDescent="0.2">
      <c r="A24" s="147" t="s">
        <v>6</v>
      </c>
      <c r="B24" s="148">
        <v>917000</v>
      </c>
      <c r="C24" s="112">
        <f>' FY23-24 GF Calculator'!C22</f>
        <v>7557</v>
      </c>
      <c r="D24" s="32" t="s">
        <v>22</v>
      </c>
    </row>
    <row r="25" spans="1:11" x14ac:dyDescent="0.2">
      <c r="A25" s="261" t="s">
        <v>226</v>
      </c>
      <c r="B25" s="137">
        <v>919700</v>
      </c>
      <c r="C25" s="162">
        <v>4.3799999999999999E-2</v>
      </c>
    </row>
    <row r="26" spans="1:11" ht="13.2" x14ac:dyDescent="0.25">
      <c r="A26" s="147"/>
      <c r="B26" s="148"/>
      <c r="C26" s="152"/>
      <c r="E26"/>
    </row>
    <row r="27" spans="1:11" x14ac:dyDescent="0.2">
      <c r="A27" s="147" t="s">
        <v>224</v>
      </c>
      <c r="B27" s="163">
        <f>SUM(C20+C21+C25)</f>
        <v>0.3705</v>
      </c>
      <c r="C27" s="143"/>
    </row>
    <row r="28" spans="1:11" x14ac:dyDescent="0.2">
      <c r="A28" s="150" t="s">
        <v>227</v>
      </c>
      <c r="B28" s="164">
        <f>C20+C22+C25</f>
        <v>0.26119999999999999</v>
      </c>
      <c r="C28" s="151"/>
    </row>
    <row r="30" spans="1:11" x14ac:dyDescent="0.2">
      <c r="A30" s="32" t="str">
        <f>' FY23-24 GF Calculator'!A28</f>
        <v>Updated:  10/3/2023</v>
      </c>
    </row>
    <row r="32" spans="1:11" x14ac:dyDescent="0.2">
      <c r="A32" s="32" t="s">
        <v>218</v>
      </c>
    </row>
    <row r="33" spans="1:1" ht="26.4" x14ac:dyDescent="0.25">
      <c r="A33" s="259" t="s">
        <v>219</v>
      </c>
    </row>
  </sheetData>
  <hyperlinks>
    <hyperlink ref="A33" r:id="rId1" xr:uid="{21D79012-2008-4991-8B37-31BF7B1C49CC}"/>
  </hyperlinks>
  <printOptions horizontalCentered="1"/>
  <pageMargins left="0.1" right="0.1" top="1" bottom="1" header="0.5" footer="0.5"/>
  <pageSetup scale="85" orientation="landscape" cellComments="asDisplayed" r:id="rId2"/>
  <headerFooter alignWithMargins="0">
    <oddFooter>&amp;L&amp;Z&amp;F</oddFooter>
  </headerFooter>
  <drawing r:id="rId3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866DE-084C-4774-9F92-B05ACC77A6C4}">
  <sheetPr>
    <tabColor theme="4" tint="0.39997558519241921"/>
  </sheetPr>
  <dimension ref="A1:O29"/>
  <sheetViews>
    <sheetView zoomScaleNormal="100" workbookViewId="0">
      <selection activeCell="Q9" sqref="Q9"/>
    </sheetView>
  </sheetViews>
  <sheetFormatPr defaultColWidth="8.88671875" defaultRowHeight="10.199999999999999" x14ac:dyDescent="0.2"/>
  <cols>
    <col min="1" max="1" width="10.109375" style="346" customWidth="1"/>
    <col min="2" max="2" width="7.88671875" style="346" customWidth="1"/>
    <col min="3" max="3" width="32" style="347" customWidth="1"/>
    <col min="4" max="4" width="13" style="347" customWidth="1"/>
    <col min="5" max="5" width="7.77734375" style="347" customWidth="1"/>
    <col min="6" max="7" width="7.5546875" style="347" customWidth="1"/>
    <col min="8" max="8" width="8.5546875" style="346" customWidth="1"/>
    <col min="9" max="10" width="9.21875" style="347" customWidth="1"/>
    <col min="11" max="11" width="9.5546875" style="347" customWidth="1"/>
    <col min="12" max="12" width="5.109375" style="347" customWidth="1"/>
    <col min="13" max="13" width="54.6640625" style="347" bestFit="1" customWidth="1"/>
    <col min="14" max="14" width="11.88671875" style="347" bestFit="1" customWidth="1"/>
    <col min="15" max="15" width="15.6640625" style="347" bestFit="1" customWidth="1"/>
    <col min="16" max="16384" width="8.88671875" style="347"/>
  </cols>
  <sheetData>
    <row r="1" spans="1:15" s="78" customFormat="1" ht="17.399999999999999" x14ac:dyDescent="0.3">
      <c r="C1" s="78" t="s">
        <v>375</v>
      </c>
    </row>
    <row r="2" spans="1:15" s="78" customFormat="1" ht="17.399999999999999" x14ac:dyDescent="0.3"/>
    <row r="3" spans="1:15" ht="32.4" customHeight="1" x14ac:dyDescent="0.25">
      <c r="A3" s="345" t="s">
        <v>376</v>
      </c>
      <c r="D3" s="433" t="s">
        <v>361</v>
      </c>
      <c r="E3" s="433"/>
      <c r="F3" s="433"/>
      <c r="G3" s="433"/>
      <c r="H3" s="348" t="s">
        <v>360</v>
      </c>
      <c r="I3" s="434" t="s">
        <v>302</v>
      </c>
      <c r="J3" s="434"/>
      <c r="K3" s="434"/>
    </row>
    <row r="4" spans="1:15" s="354" customFormat="1" ht="40.799999999999997" customHeight="1" x14ac:dyDescent="0.25">
      <c r="A4" s="349" t="s">
        <v>136</v>
      </c>
      <c r="B4" s="349" t="s">
        <v>299</v>
      </c>
      <c r="C4" s="350" t="s">
        <v>368</v>
      </c>
      <c r="D4" s="350" t="s">
        <v>369</v>
      </c>
      <c r="E4" s="351" t="s">
        <v>370</v>
      </c>
      <c r="F4" s="351" t="s">
        <v>138</v>
      </c>
      <c r="G4" s="352" t="s">
        <v>146</v>
      </c>
      <c r="H4" s="352" t="s">
        <v>359</v>
      </c>
      <c r="I4" s="353" t="s">
        <v>362</v>
      </c>
      <c r="J4" s="353" t="s">
        <v>363</v>
      </c>
      <c r="K4" s="353" t="s">
        <v>301</v>
      </c>
    </row>
    <row r="5" spans="1:15" ht="15.6" x14ac:dyDescent="0.3">
      <c r="A5" s="355">
        <v>15</v>
      </c>
      <c r="B5" s="355" t="s">
        <v>301</v>
      </c>
      <c r="C5" s="356" t="s">
        <v>230</v>
      </c>
      <c r="D5" s="356" t="s">
        <v>371</v>
      </c>
      <c r="E5" s="357"/>
      <c r="F5" s="356">
        <v>915900</v>
      </c>
      <c r="G5" s="358">
        <v>7.6499999999999999E-2</v>
      </c>
      <c r="H5" s="358">
        <v>1E-3</v>
      </c>
      <c r="I5" s="359" t="s">
        <v>303</v>
      </c>
      <c r="J5" s="360" t="s">
        <v>303</v>
      </c>
      <c r="K5" s="360" t="s">
        <v>303</v>
      </c>
      <c r="M5" s="361" t="s">
        <v>372</v>
      </c>
      <c r="N5" s="362"/>
      <c r="O5" s="362"/>
    </row>
    <row r="6" spans="1:15" ht="12" x14ac:dyDescent="0.25">
      <c r="A6" s="355">
        <v>18</v>
      </c>
      <c r="B6" s="355" t="s">
        <v>301</v>
      </c>
      <c r="C6" s="356" t="s">
        <v>231</v>
      </c>
      <c r="D6" s="356" t="s">
        <v>371</v>
      </c>
      <c r="E6" s="357"/>
      <c r="F6" s="356">
        <v>915900</v>
      </c>
      <c r="G6" s="358">
        <v>7.6499999999999999E-2</v>
      </c>
      <c r="H6" s="358">
        <v>1E-3</v>
      </c>
      <c r="I6" s="359" t="s">
        <v>303</v>
      </c>
      <c r="J6" s="360" t="s">
        <v>303</v>
      </c>
      <c r="K6" s="360" t="s">
        <v>303</v>
      </c>
      <c r="M6" s="363"/>
      <c r="N6" s="364" t="s">
        <v>373</v>
      </c>
      <c r="O6" s="365" t="s">
        <v>371</v>
      </c>
    </row>
    <row r="7" spans="1:15" ht="12" x14ac:dyDescent="0.25">
      <c r="A7" s="355">
        <v>19</v>
      </c>
      <c r="B7" s="355" t="s">
        <v>301</v>
      </c>
      <c r="C7" s="356" t="s">
        <v>232</v>
      </c>
      <c r="D7" s="356" t="s">
        <v>371</v>
      </c>
      <c r="E7" s="357"/>
      <c r="F7" s="356">
        <v>915900</v>
      </c>
      <c r="G7" s="358">
        <v>7.6499999999999999E-2</v>
      </c>
      <c r="H7" s="358">
        <v>1E-3</v>
      </c>
      <c r="I7" s="359" t="s">
        <v>303</v>
      </c>
      <c r="J7" s="360" t="s">
        <v>303</v>
      </c>
      <c r="K7" s="360" t="s">
        <v>303</v>
      </c>
      <c r="M7" s="366" t="s">
        <v>374</v>
      </c>
      <c r="N7" s="367">
        <v>5000</v>
      </c>
      <c r="O7" s="368">
        <v>40000</v>
      </c>
    </row>
    <row r="8" spans="1:15" ht="11.4" x14ac:dyDescent="0.2">
      <c r="A8" s="355">
        <v>40</v>
      </c>
      <c r="B8" s="355" t="s">
        <v>301</v>
      </c>
      <c r="C8" s="356" t="s">
        <v>238</v>
      </c>
      <c r="D8" s="356" t="s">
        <v>371</v>
      </c>
      <c r="E8" s="369"/>
      <c r="F8" s="356">
        <v>911200</v>
      </c>
      <c r="G8" s="358">
        <v>7.6499999999999999E-2</v>
      </c>
      <c r="H8" s="358">
        <v>1E-3</v>
      </c>
      <c r="I8" s="359"/>
      <c r="J8" s="360" t="s">
        <v>303</v>
      </c>
      <c r="K8" s="360" t="s">
        <v>303</v>
      </c>
      <c r="M8" s="125" t="s">
        <v>102</v>
      </c>
      <c r="N8" s="367">
        <f>N7*0</f>
        <v>0</v>
      </c>
      <c r="O8" s="368">
        <f>O7*0.0765</f>
        <v>3060</v>
      </c>
    </row>
    <row r="9" spans="1:15" ht="11.4" x14ac:dyDescent="0.2">
      <c r="A9" s="355">
        <v>50</v>
      </c>
      <c r="B9" s="355" t="s">
        <v>301</v>
      </c>
      <c r="C9" s="356" t="s">
        <v>239</v>
      </c>
      <c r="D9" s="356" t="s">
        <v>371</v>
      </c>
      <c r="E9" s="369"/>
      <c r="F9" s="356">
        <v>911200</v>
      </c>
      <c r="G9" s="358">
        <v>7.6499999999999999E-2</v>
      </c>
      <c r="H9" s="358">
        <v>1E-3</v>
      </c>
      <c r="I9" s="359"/>
      <c r="J9" s="360" t="s">
        <v>303</v>
      </c>
      <c r="K9" s="360" t="s">
        <v>303</v>
      </c>
      <c r="M9" s="125" t="s">
        <v>378</v>
      </c>
      <c r="N9" s="367">
        <f>N7*0.001</f>
        <v>5</v>
      </c>
      <c r="O9" s="368">
        <f>O7*0.001</f>
        <v>40</v>
      </c>
    </row>
    <row r="10" spans="1:15" ht="11.4" x14ac:dyDescent="0.2">
      <c r="A10" s="355">
        <v>50</v>
      </c>
      <c r="B10" s="355" t="s">
        <v>301</v>
      </c>
      <c r="C10" s="356" t="s">
        <v>242</v>
      </c>
      <c r="D10" s="356" t="s">
        <v>371</v>
      </c>
      <c r="E10" s="369"/>
      <c r="F10" s="356">
        <v>913200</v>
      </c>
      <c r="G10" s="358">
        <v>7.6499999999999999E-2</v>
      </c>
      <c r="H10" s="358">
        <v>1E-3</v>
      </c>
      <c r="I10" s="359"/>
      <c r="J10" s="360" t="s">
        <v>303</v>
      </c>
      <c r="K10" s="360" t="s">
        <v>303</v>
      </c>
      <c r="M10" s="366"/>
      <c r="N10" s="367"/>
      <c r="O10" s="368"/>
    </row>
    <row r="11" spans="1:15" ht="12" x14ac:dyDescent="0.25">
      <c r="A11" s="355">
        <v>60</v>
      </c>
      <c r="B11" s="355" t="s">
        <v>301</v>
      </c>
      <c r="C11" s="356" t="s">
        <v>161</v>
      </c>
      <c r="D11" s="356" t="s">
        <v>373</v>
      </c>
      <c r="E11" s="356" t="s">
        <v>160</v>
      </c>
      <c r="F11" s="356">
        <v>913250</v>
      </c>
      <c r="G11" s="358" t="s">
        <v>174</v>
      </c>
      <c r="H11" s="358">
        <v>1E-3</v>
      </c>
      <c r="I11" s="359"/>
      <c r="J11" s="360" t="s">
        <v>303</v>
      </c>
      <c r="K11" s="360" t="s">
        <v>303</v>
      </c>
      <c r="M11" s="370" t="s">
        <v>90</v>
      </c>
      <c r="N11" s="371">
        <f>SUM(N7:N9)</f>
        <v>5005</v>
      </c>
      <c r="O11" s="372">
        <f>SUM(O7:O9)</f>
        <v>43100</v>
      </c>
    </row>
    <row r="12" spans="1:15" ht="12" x14ac:dyDescent="0.25">
      <c r="A12" s="355">
        <v>60</v>
      </c>
      <c r="B12" s="355" t="s">
        <v>301</v>
      </c>
      <c r="C12" s="356" t="s">
        <v>162</v>
      </c>
      <c r="D12" s="356" t="s">
        <v>373</v>
      </c>
      <c r="E12" s="356" t="s">
        <v>160</v>
      </c>
      <c r="F12" s="356">
        <v>911250</v>
      </c>
      <c r="G12" s="358" t="s">
        <v>174</v>
      </c>
      <c r="H12" s="358">
        <v>1E-3</v>
      </c>
      <c r="I12" s="359"/>
      <c r="J12" s="360" t="s">
        <v>303</v>
      </c>
      <c r="K12" s="360" t="s">
        <v>303</v>
      </c>
      <c r="M12" s="325"/>
      <c r="N12" s="326"/>
      <c r="O12" s="327"/>
    </row>
    <row r="13" spans="1:15" x14ac:dyDescent="0.2">
      <c r="A13" s="355">
        <v>70</v>
      </c>
      <c r="B13" s="355" t="s">
        <v>301</v>
      </c>
      <c r="C13" s="356" t="s">
        <v>164</v>
      </c>
      <c r="D13" s="356" t="s">
        <v>373</v>
      </c>
      <c r="E13" s="356" t="s">
        <v>165</v>
      </c>
      <c r="F13" s="356">
        <v>915020</v>
      </c>
      <c r="G13" s="373" t="s">
        <v>174</v>
      </c>
      <c r="H13" s="358">
        <v>1E-3</v>
      </c>
      <c r="I13" s="359" t="s">
        <v>303</v>
      </c>
      <c r="J13" s="360" t="s">
        <v>303</v>
      </c>
      <c r="K13" s="360" t="s">
        <v>303</v>
      </c>
    </row>
    <row r="14" spans="1:15" x14ac:dyDescent="0.2">
      <c r="A14" s="355">
        <v>72</v>
      </c>
      <c r="B14" s="355" t="s">
        <v>301</v>
      </c>
      <c r="C14" s="356" t="s">
        <v>150</v>
      </c>
      <c r="D14" s="356" t="s">
        <v>373</v>
      </c>
      <c r="E14" s="356" t="s">
        <v>165</v>
      </c>
      <c r="F14" s="356">
        <v>915020</v>
      </c>
      <c r="G14" s="373" t="s">
        <v>174</v>
      </c>
      <c r="H14" s="358">
        <v>1E-3</v>
      </c>
      <c r="I14" s="359" t="s">
        <v>303</v>
      </c>
      <c r="J14" s="360" t="s">
        <v>303</v>
      </c>
      <c r="K14" s="360" t="s">
        <v>303</v>
      </c>
    </row>
    <row r="15" spans="1:15" ht="15.6" x14ac:dyDescent="0.3">
      <c r="A15" s="355">
        <v>75</v>
      </c>
      <c r="B15" s="355" t="s">
        <v>301</v>
      </c>
      <c r="C15" s="356" t="s">
        <v>248</v>
      </c>
      <c r="D15" s="356" t="s">
        <v>373</v>
      </c>
      <c r="E15" s="356" t="s">
        <v>165</v>
      </c>
      <c r="F15" s="356">
        <v>915030</v>
      </c>
      <c r="G15" s="373" t="s">
        <v>174</v>
      </c>
      <c r="H15" s="373" t="s">
        <v>174</v>
      </c>
      <c r="I15" s="359"/>
      <c r="J15" s="360"/>
      <c r="K15" s="360"/>
      <c r="M15" s="361"/>
      <c r="N15" s="362"/>
      <c r="O15" s="362"/>
    </row>
    <row r="16" spans="1:15" ht="12" x14ac:dyDescent="0.25">
      <c r="M16" s="362"/>
      <c r="N16" s="377"/>
      <c r="O16" s="377"/>
    </row>
    <row r="17" spans="1:15" ht="11.4" x14ac:dyDescent="0.2">
      <c r="A17" s="374" t="s">
        <v>167</v>
      </c>
      <c r="B17" s="374"/>
      <c r="C17" s="347" t="s">
        <v>348</v>
      </c>
      <c r="M17" s="362"/>
      <c r="N17" s="367"/>
      <c r="O17" s="367"/>
    </row>
    <row r="18" spans="1:15" ht="11.4" x14ac:dyDescent="0.2">
      <c r="A18" s="374" t="s">
        <v>168</v>
      </c>
      <c r="B18" s="374"/>
      <c r="C18" s="347" t="s">
        <v>349</v>
      </c>
      <c r="M18" s="378"/>
      <c r="N18" s="367"/>
      <c r="O18" s="367"/>
    </row>
    <row r="19" spans="1:15" ht="11.4" x14ac:dyDescent="0.2">
      <c r="M19" s="362"/>
      <c r="N19" s="367"/>
      <c r="O19" s="367"/>
    </row>
    <row r="20" spans="1:15" ht="12" x14ac:dyDescent="0.25">
      <c r="M20" s="379"/>
      <c r="N20" s="371"/>
      <c r="O20" s="371"/>
    </row>
    <row r="21" spans="1:15" ht="13.2" x14ac:dyDescent="0.25">
      <c r="C21" s="375"/>
      <c r="D21" s="375"/>
      <c r="M21" s="380"/>
      <c r="N21" s="381"/>
      <c r="O21" s="381"/>
    </row>
    <row r="22" spans="1:15" ht="13.2" x14ac:dyDescent="0.25">
      <c r="C22" s="376"/>
      <c r="D22" s="376"/>
    </row>
    <row r="23" spans="1:15" ht="13.2" x14ac:dyDescent="0.2">
      <c r="C23" s="375"/>
      <c r="D23" s="375"/>
    </row>
    <row r="24" spans="1:15" ht="13.2" x14ac:dyDescent="0.25">
      <c r="C24" s="376"/>
      <c r="D24" s="376"/>
    </row>
    <row r="25" spans="1:15" ht="13.2" x14ac:dyDescent="0.2">
      <c r="C25" s="375"/>
      <c r="D25" s="375"/>
    </row>
    <row r="26" spans="1:15" ht="13.2" x14ac:dyDescent="0.25">
      <c r="C26" s="376"/>
      <c r="D26" s="376"/>
    </row>
    <row r="27" spans="1:15" ht="13.2" x14ac:dyDescent="0.2">
      <c r="C27" s="375"/>
      <c r="D27" s="375"/>
    </row>
    <row r="28" spans="1:15" ht="13.2" x14ac:dyDescent="0.25">
      <c r="C28" s="376"/>
      <c r="D28" s="376"/>
    </row>
    <row r="29" spans="1:15" ht="13.2" x14ac:dyDescent="0.2">
      <c r="C29" s="375"/>
      <c r="D29" s="375"/>
    </row>
  </sheetData>
  <mergeCells count="2">
    <mergeCell ref="D3:G3"/>
    <mergeCell ref="I3:K3"/>
  </mergeCells>
  <pageMargins left="0.7" right="0.7" top="0.75" bottom="0.75" header="0.3" footer="0.3"/>
  <pageSetup scale="85" orientation="landscape" r:id="rId1"/>
  <headerFooter>
    <oddFooter>&amp;L&amp;Z&amp;F&amp;RPage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33CC33"/>
  </sheetPr>
  <dimension ref="A1:L33"/>
  <sheetViews>
    <sheetView workbookViewId="0"/>
  </sheetViews>
  <sheetFormatPr defaultColWidth="9.109375" defaultRowHeight="11.4" x14ac:dyDescent="0.2"/>
  <cols>
    <col min="1" max="1" width="55.109375" style="32" customWidth="1"/>
    <col min="2" max="2" width="9.44140625" style="32" customWidth="1"/>
    <col min="3" max="3" width="9.88671875" style="32" customWidth="1"/>
    <col min="4" max="4" width="3.44140625" style="32" customWidth="1"/>
    <col min="5" max="5" width="1.5546875" style="32" customWidth="1"/>
    <col min="6" max="6" width="45.44140625" style="32" customWidth="1"/>
    <col min="7" max="7" width="9" style="32" customWidth="1"/>
    <col min="8" max="8" width="9.88671875" style="32" customWidth="1"/>
    <col min="9" max="9" width="3.109375" style="32" customWidth="1"/>
    <col min="10" max="16384" width="9.109375" style="32"/>
  </cols>
  <sheetData>
    <row r="1" spans="1:12" ht="17.399999999999999" x14ac:dyDescent="0.3">
      <c r="A1" s="78" t="s">
        <v>215</v>
      </c>
    </row>
    <row r="3" spans="1:12" ht="30" customHeight="1" x14ac:dyDescent="0.2">
      <c r="A3" s="33" t="s">
        <v>20</v>
      </c>
      <c r="F3" s="33" t="s">
        <v>21</v>
      </c>
    </row>
    <row r="4" spans="1:12" ht="12" x14ac:dyDescent="0.25">
      <c r="A4" s="34"/>
      <c r="B4" s="35" t="s">
        <v>220</v>
      </c>
      <c r="C4" s="36" t="s">
        <v>222</v>
      </c>
      <c r="F4" s="34"/>
      <c r="G4" s="35" t="s">
        <v>220</v>
      </c>
      <c r="H4" s="36" t="s">
        <v>222</v>
      </c>
    </row>
    <row r="5" spans="1:12" x14ac:dyDescent="0.2">
      <c r="A5" s="37" t="s">
        <v>72</v>
      </c>
      <c r="B5" s="38">
        <v>100000</v>
      </c>
      <c r="C5" s="39">
        <v>60000</v>
      </c>
      <c r="F5" s="37" t="s">
        <v>73</v>
      </c>
      <c r="G5" s="38">
        <v>27050</v>
      </c>
      <c r="H5" s="39">
        <v>50000</v>
      </c>
    </row>
    <row r="6" spans="1:12" x14ac:dyDescent="0.2">
      <c r="A6" s="37" t="s">
        <v>214</v>
      </c>
      <c r="B6" s="40">
        <f>-C22</f>
        <v>-5659</v>
      </c>
      <c r="C6" s="41"/>
      <c r="F6" s="37" t="str">
        <f>A10</f>
        <v>FICA (Salary X .0765)</v>
      </c>
      <c r="G6" s="38">
        <f>G5*C18</f>
        <v>2069.3249999999998</v>
      </c>
      <c r="H6" s="39">
        <f>H5*C18</f>
        <v>3825</v>
      </c>
    </row>
    <row r="7" spans="1:12" x14ac:dyDescent="0.2">
      <c r="A7" s="37" t="s">
        <v>12</v>
      </c>
      <c r="B7" s="38">
        <f>SUM(B5:B6)</f>
        <v>94341</v>
      </c>
      <c r="C7" s="39">
        <f>SUM(C5:C6)</f>
        <v>60000</v>
      </c>
      <c r="F7" s="37" t="str">
        <f>A11</f>
        <v>Retirement (Salary x .1633 for SHRA or .1303 for EHRA)</v>
      </c>
      <c r="G7" s="38">
        <f>G5*C19</f>
        <v>4417.2650000000003</v>
      </c>
      <c r="H7" s="39">
        <f>H5*C20</f>
        <v>6515</v>
      </c>
    </row>
    <row r="8" spans="1:12" x14ac:dyDescent="0.2">
      <c r="A8" s="37"/>
      <c r="B8" s="38"/>
      <c r="C8" s="39"/>
      <c r="F8" s="37" t="s">
        <v>0</v>
      </c>
      <c r="G8" s="40">
        <f>C22</f>
        <v>5659</v>
      </c>
      <c r="H8" s="41">
        <f>C22</f>
        <v>5659</v>
      </c>
    </row>
    <row r="9" spans="1:12" x14ac:dyDescent="0.2">
      <c r="A9" s="37" t="s">
        <v>76</v>
      </c>
      <c r="B9" s="38">
        <f>B7/1.2398</f>
        <v>76093.724794321664</v>
      </c>
      <c r="C9" s="39">
        <f>C7/1.2068</f>
        <v>49718.263175339736</v>
      </c>
      <c r="F9" s="37"/>
      <c r="G9" s="38"/>
      <c r="H9" s="39"/>
    </row>
    <row r="10" spans="1:12" x14ac:dyDescent="0.2">
      <c r="A10" s="37" t="s">
        <v>77</v>
      </c>
      <c r="B10" s="38">
        <f>B9*C18</f>
        <v>5821.1699467656072</v>
      </c>
      <c r="C10" s="39">
        <f>C9*C18</f>
        <v>3803.4471329134899</v>
      </c>
      <c r="F10" s="37" t="s">
        <v>90</v>
      </c>
      <c r="G10" s="38">
        <f>SUM(G5:G8)</f>
        <v>39195.590000000004</v>
      </c>
      <c r="H10" s="39">
        <f>SUM(H5:H8)</f>
        <v>65999</v>
      </c>
    </row>
    <row r="11" spans="1:12" x14ac:dyDescent="0.2">
      <c r="A11" s="37" t="s">
        <v>244</v>
      </c>
      <c r="B11" s="38">
        <f>B9*C19</f>
        <v>12426.105258912728</v>
      </c>
      <c r="C11" s="39"/>
      <c r="F11" s="37"/>
      <c r="H11" s="42"/>
    </row>
    <row r="12" spans="1:12" x14ac:dyDescent="0.2">
      <c r="A12" s="37" t="s">
        <v>0</v>
      </c>
      <c r="B12" s="40">
        <f>C22</f>
        <v>5659</v>
      </c>
      <c r="C12" s="41"/>
      <c r="F12" s="37"/>
      <c r="H12" s="42"/>
    </row>
    <row r="13" spans="1:12" x14ac:dyDescent="0.2">
      <c r="A13" s="43" t="s">
        <v>13</v>
      </c>
      <c r="B13" s="44">
        <f>SUM(B9:B12)</f>
        <v>100000</v>
      </c>
      <c r="C13" s="45">
        <f>SUM(C9:C12)</f>
        <v>53521.710308253227</v>
      </c>
      <c r="F13" s="43"/>
      <c r="G13" s="46"/>
      <c r="H13" s="47"/>
    </row>
    <row r="14" spans="1:12" x14ac:dyDescent="0.2">
      <c r="L14" s="260"/>
    </row>
    <row r="15" spans="1:12" ht="13.2" x14ac:dyDescent="0.25">
      <c r="A15" s="219" t="s">
        <v>213</v>
      </c>
      <c r="B15" s="166"/>
      <c r="C15" s="167"/>
      <c r="F15" s="106" t="s">
        <v>93</v>
      </c>
      <c r="G15"/>
      <c r="H15"/>
    </row>
    <row r="16" spans="1:12" ht="12" x14ac:dyDescent="0.25">
      <c r="A16" s="168"/>
      <c r="B16" s="169"/>
      <c r="C16" s="170"/>
      <c r="F16" s="34"/>
      <c r="G16" s="35" t="s">
        <v>220</v>
      </c>
      <c r="H16" s="36" t="s">
        <v>222</v>
      </c>
      <c r="L16" s="260"/>
    </row>
    <row r="17" spans="1:8" ht="12" x14ac:dyDescent="0.25">
      <c r="A17" s="171" t="s">
        <v>1</v>
      </c>
      <c r="B17" s="172" t="s">
        <v>2</v>
      </c>
      <c r="C17" s="173" t="s">
        <v>3</v>
      </c>
      <c r="F17" s="37" t="s">
        <v>73</v>
      </c>
      <c r="G17" s="38">
        <v>50000</v>
      </c>
      <c r="H17" s="107">
        <v>50000</v>
      </c>
    </row>
    <row r="18" spans="1:8" x14ac:dyDescent="0.2">
      <c r="A18" s="174" t="s">
        <v>4</v>
      </c>
      <c r="B18" s="175">
        <v>919150</v>
      </c>
      <c r="C18" s="176">
        <v>7.6499999999999999E-2</v>
      </c>
      <c r="F18" s="37" t="str">
        <f>A10</f>
        <v>FICA (Salary X .0765)</v>
      </c>
      <c r="G18" s="38">
        <f>G17*C18</f>
        <v>3825</v>
      </c>
      <c r="H18" s="107">
        <f>H17*C18</f>
        <v>3825</v>
      </c>
    </row>
    <row r="19" spans="1:8" x14ac:dyDescent="0.2">
      <c r="A19" s="174" t="s">
        <v>57</v>
      </c>
      <c r="B19" s="175">
        <v>919050</v>
      </c>
      <c r="C19" s="176">
        <v>0.1633</v>
      </c>
      <c r="F19" s="37" t="s">
        <v>245</v>
      </c>
      <c r="G19" s="38">
        <f>G17*C21</f>
        <v>10665</v>
      </c>
      <c r="H19" s="107">
        <f>H17*C21</f>
        <v>10665</v>
      </c>
    </row>
    <row r="20" spans="1:8" x14ac:dyDescent="0.2">
      <c r="A20" s="174" t="s">
        <v>7</v>
      </c>
      <c r="B20" s="175">
        <v>918000</v>
      </c>
      <c r="C20" s="176">
        <v>0.1303</v>
      </c>
      <c r="F20" s="37" t="s">
        <v>0</v>
      </c>
      <c r="G20" s="40">
        <f>C22</f>
        <v>5659</v>
      </c>
      <c r="H20" s="100">
        <f>C22</f>
        <v>5659</v>
      </c>
    </row>
    <row r="21" spans="1:8" x14ac:dyDescent="0.2">
      <c r="A21" s="174" t="s">
        <v>86</v>
      </c>
      <c r="B21" s="175">
        <v>919100</v>
      </c>
      <c r="C21" s="176">
        <v>0.21329999999999999</v>
      </c>
      <c r="F21" s="37" t="s">
        <v>95</v>
      </c>
      <c r="G21" s="38">
        <f>SUM(G17:G20)</f>
        <v>70149</v>
      </c>
      <c r="H21" s="107">
        <f>SUM(H17:H20)</f>
        <v>70149</v>
      </c>
    </row>
    <row r="22" spans="1:8" x14ac:dyDescent="0.2">
      <c r="A22" s="88" t="s">
        <v>246</v>
      </c>
      <c r="B22" s="175">
        <v>917000</v>
      </c>
      <c r="C22" s="89">
        <v>5659</v>
      </c>
      <c r="D22" s="32" t="s">
        <v>22</v>
      </c>
      <c r="F22" s="37"/>
      <c r="G22" s="38"/>
      <c r="H22" s="42"/>
    </row>
    <row r="23" spans="1:8" x14ac:dyDescent="0.2">
      <c r="A23" s="174"/>
      <c r="B23" s="169"/>
      <c r="C23" s="170"/>
      <c r="F23" s="153"/>
      <c r="G23" s="154"/>
      <c r="H23" s="155"/>
    </row>
    <row r="24" spans="1:8" x14ac:dyDescent="0.2">
      <c r="A24" s="174" t="s">
        <v>221</v>
      </c>
      <c r="B24" s="178">
        <f>SUM(C18+C19)</f>
        <v>0.23980000000000001</v>
      </c>
      <c r="C24" s="170"/>
      <c r="F24" s="37" t="s">
        <v>72</v>
      </c>
      <c r="G24" s="38">
        <v>50000</v>
      </c>
      <c r="H24" s="39">
        <v>50000</v>
      </c>
    </row>
    <row r="25" spans="1:8" x14ac:dyDescent="0.2">
      <c r="A25" s="174" t="s">
        <v>223</v>
      </c>
      <c r="B25" s="178">
        <f>C18+C20</f>
        <v>0.20679999999999998</v>
      </c>
      <c r="C25" s="170"/>
      <c r="F25" s="37" t="s">
        <v>212</v>
      </c>
      <c r="G25" s="40">
        <f>-C22</f>
        <v>-5659</v>
      </c>
      <c r="H25" s="41">
        <f>-C22</f>
        <v>-5659</v>
      </c>
    </row>
    <row r="26" spans="1:8" x14ac:dyDescent="0.2">
      <c r="A26" s="179" t="s">
        <v>185</v>
      </c>
      <c r="B26" s="180">
        <f>SUM(C18+C21)</f>
        <v>0.2898</v>
      </c>
      <c r="C26" s="181"/>
      <c r="F26" s="37" t="s">
        <v>12</v>
      </c>
      <c r="G26" s="38">
        <f>SUM(G24:G25)</f>
        <v>44341</v>
      </c>
      <c r="H26" s="39">
        <f>SUM(H24:H25)</f>
        <v>44341</v>
      </c>
    </row>
    <row r="27" spans="1:8" x14ac:dyDescent="0.2">
      <c r="F27" s="37"/>
      <c r="G27" s="38"/>
      <c r="H27" s="42"/>
    </row>
    <row r="28" spans="1:8" x14ac:dyDescent="0.2">
      <c r="A28" s="32" t="s">
        <v>247</v>
      </c>
      <c r="F28" s="37" t="s">
        <v>76</v>
      </c>
      <c r="G28" s="38">
        <f>G26/1.2797</f>
        <v>34649.52723294522</v>
      </c>
      <c r="H28" s="39">
        <f>H26/1.2797</f>
        <v>34649.52723294522</v>
      </c>
    </row>
    <row r="29" spans="1:8" x14ac:dyDescent="0.2">
      <c r="F29" s="37" t="str">
        <f>A10</f>
        <v>FICA (Salary X .0765)</v>
      </c>
      <c r="G29" s="38">
        <f>G28*C18</f>
        <v>2650.6888333203092</v>
      </c>
      <c r="H29" s="39">
        <f>H28*C18</f>
        <v>2650.6888333203092</v>
      </c>
    </row>
    <row r="30" spans="1:8" x14ac:dyDescent="0.2">
      <c r="A30" s="32" t="s">
        <v>218</v>
      </c>
      <c r="F30" s="37" t="str">
        <f>F19</f>
        <v>LEO Retirement (Salary x .2133 for both EHRA &amp; SHRA)</v>
      </c>
      <c r="G30" s="38">
        <f>G28*C21</f>
        <v>7390.7441587872154</v>
      </c>
      <c r="H30" s="39">
        <f>H28*C21</f>
        <v>7390.7441587872154</v>
      </c>
    </row>
    <row r="31" spans="1:8" x14ac:dyDescent="0.2">
      <c r="F31" s="37" t="s">
        <v>0</v>
      </c>
      <c r="G31" s="40">
        <f>C22</f>
        <v>5659</v>
      </c>
      <c r="H31" s="218">
        <f>C22</f>
        <v>5659</v>
      </c>
    </row>
    <row r="32" spans="1:8" ht="26.4" x14ac:dyDescent="0.25">
      <c r="A32" s="259" t="s">
        <v>219</v>
      </c>
      <c r="F32" s="43" t="s">
        <v>13</v>
      </c>
      <c r="G32" s="44">
        <f>SUM(G28:G31)</f>
        <v>50349.960225052746</v>
      </c>
      <c r="H32" s="45">
        <f>SUM(H28:H31)</f>
        <v>50349.960225052746</v>
      </c>
    </row>
    <row r="33" spans="8:8" x14ac:dyDescent="0.2">
      <c r="H33" s="157"/>
    </row>
  </sheetData>
  <hyperlinks>
    <hyperlink ref="A32" r:id="rId1" xr:uid="{00000000-0004-0000-0100-000000000000}"/>
  </hyperlinks>
  <pageMargins left="0.75" right="0.75" top="1" bottom="1" header="0.5" footer="0.5"/>
  <pageSetup scale="85" orientation="landscape" cellComments="asDisplayed" r:id="rId2"/>
  <headerFooter alignWithMargins="0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J29"/>
  <sheetViews>
    <sheetView workbookViewId="0">
      <selection activeCell="M32" sqref="M32"/>
    </sheetView>
  </sheetViews>
  <sheetFormatPr defaultColWidth="9.109375" defaultRowHeight="13.8" x14ac:dyDescent="0.3"/>
  <cols>
    <col min="1" max="1" width="9.109375" style="94"/>
    <col min="2" max="2" width="10.109375" style="95" bestFit="1" customWidth="1"/>
    <col min="3" max="4" width="10.109375" style="96" bestFit="1" customWidth="1"/>
    <col min="5" max="6" width="9.109375" style="96"/>
    <col min="7" max="7" width="10.5546875" style="96" bestFit="1" customWidth="1"/>
    <col min="8" max="8" width="9.5546875" style="94" bestFit="1" customWidth="1"/>
    <col min="9" max="9" width="15.44140625" style="94" bestFit="1" customWidth="1"/>
    <col min="10" max="10" width="10.109375" style="96" bestFit="1" customWidth="1"/>
    <col min="11" max="16384" width="9.109375" style="94"/>
  </cols>
  <sheetData>
    <row r="1" spans="1:10" x14ac:dyDescent="0.3">
      <c r="A1" s="94" t="s">
        <v>59</v>
      </c>
      <c r="B1" s="95" t="s">
        <v>60</v>
      </c>
      <c r="C1" s="95" t="s">
        <v>189</v>
      </c>
      <c r="D1" s="95" t="s">
        <v>190</v>
      </c>
      <c r="E1" s="95" t="s">
        <v>191</v>
      </c>
      <c r="F1" s="95" t="s">
        <v>192</v>
      </c>
      <c r="G1" s="96" t="s">
        <v>56</v>
      </c>
    </row>
    <row r="2" spans="1:10" x14ac:dyDescent="0.3">
      <c r="A2" s="97" t="s">
        <v>35</v>
      </c>
      <c r="B2" s="98">
        <v>13</v>
      </c>
      <c r="C2" s="96">
        <v>2041.67</v>
      </c>
      <c r="D2" s="96">
        <v>500</v>
      </c>
      <c r="G2" s="96">
        <f t="shared" ref="G2:G25" si="0">SUM(C2:F2)</f>
        <v>2541.67</v>
      </c>
      <c r="I2" s="94" t="s">
        <v>58</v>
      </c>
      <c r="J2" s="96">
        <v>61000</v>
      </c>
    </row>
    <row r="3" spans="1:10" x14ac:dyDescent="0.3">
      <c r="A3" s="97" t="s">
        <v>36</v>
      </c>
      <c r="B3" s="98">
        <v>14</v>
      </c>
      <c r="C3" s="96">
        <v>2041.67</v>
      </c>
      <c r="D3" s="96">
        <v>500</v>
      </c>
      <c r="G3" s="96">
        <f t="shared" si="0"/>
        <v>2541.67</v>
      </c>
      <c r="I3" s="94" t="s">
        <v>62</v>
      </c>
      <c r="J3" s="96">
        <f>J2/24</f>
        <v>2541.6666666666665</v>
      </c>
    </row>
    <row r="4" spans="1:10" x14ac:dyDescent="0.3">
      <c r="A4" s="97" t="s">
        <v>37</v>
      </c>
      <c r="B4" s="98">
        <v>15</v>
      </c>
      <c r="C4" s="96">
        <v>2041.67</v>
      </c>
      <c r="D4" s="96">
        <v>500</v>
      </c>
      <c r="G4" s="96">
        <f t="shared" si="0"/>
        <v>2541.67</v>
      </c>
    </row>
    <row r="5" spans="1:10" x14ac:dyDescent="0.3">
      <c r="A5" s="97" t="s">
        <v>38</v>
      </c>
      <c r="B5" s="98">
        <v>16</v>
      </c>
      <c r="C5" s="96">
        <v>2041.67</v>
      </c>
      <c r="D5" s="96">
        <v>500</v>
      </c>
      <c r="G5" s="96">
        <f t="shared" si="0"/>
        <v>2541.67</v>
      </c>
    </row>
    <row r="6" spans="1:10" x14ac:dyDescent="0.3">
      <c r="A6" s="97" t="s">
        <v>39</v>
      </c>
      <c r="B6" s="98">
        <v>17</v>
      </c>
      <c r="C6" s="96">
        <v>2041.67</v>
      </c>
      <c r="D6" s="96">
        <v>500</v>
      </c>
      <c r="G6" s="96">
        <f t="shared" si="0"/>
        <v>2541.67</v>
      </c>
    </row>
    <row r="7" spans="1:10" x14ac:dyDescent="0.3">
      <c r="A7" s="97" t="s">
        <v>40</v>
      </c>
      <c r="B7" s="98">
        <v>18</v>
      </c>
      <c r="C7" s="96">
        <v>2041.67</v>
      </c>
      <c r="D7" s="96">
        <v>500</v>
      </c>
      <c r="G7" s="96">
        <f t="shared" si="0"/>
        <v>2541.67</v>
      </c>
    </row>
    <row r="8" spans="1:10" x14ac:dyDescent="0.3">
      <c r="A8" s="97" t="s">
        <v>41</v>
      </c>
      <c r="B8" s="98">
        <v>19</v>
      </c>
      <c r="C8" s="96">
        <v>2041.67</v>
      </c>
      <c r="D8" s="96">
        <v>500</v>
      </c>
      <c r="G8" s="96">
        <f t="shared" si="0"/>
        <v>2541.67</v>
      </c>
    </row>
    <row r="9" spans="1:10" x14ac:dyDescent="0.3">
      <c r="A9" s="97" t="s">
        <v>42</v>
      </c>
      <c r="B9" s="98">
        <v>20</v>
      </c>
      <c r="C9" s="96">
        <v>2041.67</v>
      </c>
      <c r="D9" s="96">
        <v>500</v>
      </c>
      <c r="G9" s="96">
        <f t="shared" si="0"/>
        <v>2541.67</v>
      </c>
    </row>
    <row r="10" spans="1:10" x14ac:dyDescent="0.3">
      <c r="A10" s="97" t="s">
        <v>43</v>
      </c>
      <c r="B10" s="98">
        <v>21</v>
      </c>
      <c r="C10" s="96">
        <v>2041.67</v>
      </c>
      <c r="D10" s="96">
        <v>500</v>
      </c>
      <c r="G10" s="96">
        <f t="shared" si="0"/>
        <v>2541.67</v>
      </c>
    </row>
    <row r="11" spans="1:10" x14ac:dyDescent="0.3">
      <c r="A11" s="97" t="s">
        <v>44</v>
      </c>
      <c r="B11" s="98">
        <v>22</v>
      </c>
      <c r="C11" s="96">
        <v>2041.67</v>
      </c>
      <c r="D11" s="96">
        <v>500</v>
      </c>
      <c r="G11" s="96">
        <f t="shared" si="0"/>
        <v>2541.67</v>
      </c>
    </row>
    <row r="12" spans="1:10" x14ac:dyDescent="0.3">
      <c r="A12" s="97" t="s">
        <v>45</v>
      </c>
      <c r="B12" s="98">
        <v>23</v>
      </c>
      <c r="C12" s="96">
        <v>2041.67</v>
      </c>
      <c r="D12" s="96">
        <v>500</v>
      </c>
      <c r="G12" s="96">
        <f t="shared" si="0"/>
        <v>2541.67</v>
      </c>
    </row>
    <row r="13" spans="1:10" x14ac:dyDescent="0.3">
      <c r="A13" s="97" t="s">
        <v>46</v>
      </c>
      <c r="B13" s="98">
        <v>24</v>
      </c>
      <c r="C13" s="96">
        <v>2041.67</v>
      </c>
      <c r="D13" s="96">
        <v>500</v>
      </c>
      <c r="G13" s="96">
        <f t="shared" si="0"/>
        <v>2541.67</v>
      </c>
    </row>
    <row r="14" spans="1:10" x14ac:dyDescent="0.3">
      <c r="A14" s="97" t="s">
        <v>23</v>
      </c>
      <c r="B14" s="99" t="s">
        <v>47</v>
      </c>
      <c r="C14" s="96">
        <v>2041.67</v>
      </c>
      <c r="D14" s="96">
        <v>500</v>
      </c>
      <c r="G14" s="96">
        <f t="shared" si="0"/>
        <v>2541.67</v>
      </c>
    </row>
    <row r="15" spans="1:10" x14ac:dyDescent="0.3">
      <c r="A15" s="97" t="s">
        <v>24</v>
      </c>
      <c r="B15" s="99" t="s">
        <v>48</v>
      </c>
      <c r="C15" s="96">
        <v>2041.67</v>
      </c>
      <c r="D15" s="96">
        <v>500</v>
      </c>
      <c r="G15" s="96">
        <f t="shared" si="0"/>
        <v>2541.67</v>
      </c>
    </row>
    <row r="16" spans="1:10" x14ac:dyDescent="0.3">
      <c r="A16" s="97" t="s">
        <v>25</v>
      </c>
      <c r="B16" s="99" t="s">
        <v>49</v>
      </c>
      <c r="C16" s="96">
        <v>2041.67</v>
      </c>
      <c r="D16" s="96">
        <v>500</v>
      </c>
      <c r="G16" s="96">
        <f t="shared" si="0"/>
        <v>2541.67</v>
      </c>
    </row>
    <row r="17" spans="1:8" x14ac:dyDescent="0.3">
      <c r="A17" s="97" t="s">
        <v>26</v>
      </c>
      <c r="B17" s="99" t="s">
        <v>50</v>
      </c>
      <c r="C17" s="96">
        <v>2041.67</v>
      </c>
      <c r="D17" s="96">
        <v>500</v>
      </c>
      <c r="G17" s="96">
        <f t="shared" si="0"/>
        <v>2541.67</v>
      </c>
    </row>
    <row r="18" spans="1:8" x14ac:dyDescent="0.3">
      <c r="A18" s="97" t="s">
        <v>27</v>
      </c>
      <c r="B18" s="99" t="s">
        <v>51</v>
      </c>
      <c r="C18" s="96">
        <v>2041.67</v>
      </c>
      <c r="D18" s="96">
        <v>500</v>
      </c>
      <c r="G18" s="96">
        <f t="shared" si="0"/>
        <v>2541.67</v>
      </c>
    </row>
    <row r="19" spans="1:8" x14ac:dyDescent="0.3">
      <c r="A19" s="97" t="s">
        <v>28</v>
      </c>
      <c r="B19" s="99" t="s">
        <v>52</v>
      </c>
      <c r="C19" s="96">
        <v>2041.67</v>
      </c>
      <c r="D19" s="96">
        <v>500</v>
      </c>
      <c r="G19" s="96">
        <f t="shared" si="0"/>
        <v>2541.67</v>
      </c>
    </row>
    <row r="20" spans="1:8" x14ac:dyDescent="0.3">
      <c r="A20" s="97" t="s">
        <v>29</v>
      </c>
      <c r="B20" s="99" t="s">
        <v>53</v>
      </c>
      <c r="C20" s="96">
        <v>2041.67</v>
      </c>
      <c r="D20" s="96">
        <v>500</v>
      </c>
      <c r="G20" s="96">
        <f t="shared" si="0"/>
        <v>2541.67</v>
      </c>
    </row>
    <row r="21" spans="1:8" x14ac:dyDescent="0.3">
      <c r="A21" s="97" t="s">
        <v>30</v>
      </c>
      <c r="B21" s="99" t="s">
        <v>54</v>
      </c>
      <c r="C21" s="96">
        <v>2041.67</v>
      </c>
      <c r="D21" s="96">
        <v>500</v>
      </c>
      <c r="G21" s="96">
        <f t="shared" si="0"/>
        <v>2541.67</v>
      </c>
    </row>
    <row r="22" spans="1:8" x14ac:dyDescent="0.3">
      <c r="A22" s="97" t="s">
        <v>31</v>
      </c>
      <c r="B22" s="99" t="s">
        <v>55</v>
      </c>
      <c r="C22" s="96">
        <v>2041.67</v>
      </c>
      <c r="D22" s="96">
        <v>500</v>
      </c>
      <c r="G22" s="96">
        <f t="shared" si="0"/>
        <v>2541.67</v>
      </c>
    </row>
    <row r="23" spans="1:8" x14ac:dyDescent="0.3">
      <c r="A23" s="97" t="s">
        <v>32</v>
      </c>
      <c r="B23" s="98">
        <v>10</v>
      </c>
      <c r="C23" s="96">
        <v>2041.67</v>
      </c>
      <c r="D23" s="96">
        <v>500</v>
      </c>
      <c r="G23" s="96">
        <f t="shared" si="0"/>
        <v>2541.67</v>
      </c>
    </row>
    <row r="24" spans="1:8" x14ac:dyDescent="0.3">
      <c r="A24" s="97" t="s">
        <v>33</v>
      </c>
      <c r="B24" s="98">
        <v>11</v>
      </c>
      <c r="C24" s="96">
        <v>2041.67</v>
      </c>
      <c r="D24" s="96">
        <v>500</v>
      </c>
      <c r="G24" s="96">
        <f t="shared" si="0"/>
        <v>2541.67</v>
      </c>
    </row>
    <row r="25" spans="1:8" x14ac:dyDescent="0.3">
      <c r="A25" s="97" t="s">
        <v>34</v>
      </c>
      <c r="B25" s="98">
        <v>12</v>
      </c>
      <c r="C25" s="96">
        <v>2041.67</v>
      </c>
      <c r="D25" s="96">
        <v>500</v>
      </c>
      <c r="G25" s="96">
        <f t="shared" si="0"/>
        <v>2541.67</v>
      </c>
    </row>
    <row r="27" spans="1:8" x14ac:dyDescent="0.3">
      <c r="A27" s="94" t="s">
        <v>61</v>
      </c>
      <c r="B27" s="95">
        <v>24</v>
      </c>
      <c r="C27" s="96">
        <f t="shared" ref="C27:G27" si="1">SUM(C2:C25)</f>
        <v>49000.079999999973</v>
      </c>
      <c r="D27" s="96">
        <f t="shared" si="1"/>
        <v>12000</v>
      </c>
      <c r="E27" s="96">
        <f t="shared" si="1"/>
        <v>0</v>
      </c>
      <c r="F27" s="96">
        <f t="shared" si="1"/>
        <v>0</v>
      </c>
      <c r="G27" s="96">
        <f t="shared" si="1"/>
        <v>61000.079999999973</v>
      </c>
    </row>
    <row r="28" spans="1:8" x14ac:dyDescent="0.3">
      <c r="G28" s="96">
        <f>SUM(C27:F27)</f>
        <v>61000.079999999973</v>
      </c>
      <c r="H28" s="96">
        <f>J2-G28</f>
        <v>-7.9999999972642399E-2</v>
      </c>
    </row>
    <row r="29" spans="1:8" x14ac:dyDescent="0.3">
      <c r="G29" s="96">
        <f>G27-G28</f>
        <v>0</v>
      </c>
    </row>
  </sheetData>
  <phoneticPr fontId="6" type="noConversion"/>
  <pageMargins left="0.75" right="0.75" top="1" bottom="1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7"/>
    <pageSetUpPr fitToPage="1"/>
  </sheetPr>
  <dimension ref="A1:AD40"/>
  <sheetViews>
    <sheetView workbookViewId="0">
      <selection activeCell="X30" sqref="X30"/>
    </sheetView>
  </sheetViews>
  <sheetFormatPr defaultColWidth="9.109375" defaultRowHeight="13.2" x14ac:dyDescent="0.25"/>
  <cols>
    <col min="1" max="1" width="26" style="269" customWidth="1"/>
    <col min="2" max="23" width="10.5546875" style="269" hidden="1" customWidth="1"/>
    <col min="24" max="24" width="10.5546875" style="269" customWidth="1"/>
    <col min="25" max="29" width="14" style="269" customWidth="1"/>
    <col min="30" max="30" width="9.109375" style="268"/>
    <col min="31" max="261" width="9.109375" style="269"/>
    <col min="262" max="262" width="26" style="269" customWidth="1"/>
    <col min="263" max="274" width="0" style="269" hidden="1" customWidth="1"/>
    <col min="275" max="285" width="10.5546875" style="269" customWidth="1"/>
    <col min="286" max="517" width="9.109375" style="269"/>
    <col min="518" max="518" width="26" style="269" customWidth="1"/>
    <col min="519" max="530" width="0" style="269" hidden="1" customWidth="1"/>
    <col min="531" max="541" width="10.5546875" style="269" customWidth="1"/>
    <col min="542" max="773" width="9.109375" style="269"/>
    <col min="774" max="774" width="26" style="269" customWidth="1"/>
    <col min="775" max="786" width="0" style="269" hidden="1" customWidth="1"/>
    <col min="787" max="797" width="10.5546875" style="269" customWidth="1"/>
    <col min="798" max="1029" width="9.109375" style="269"/>
    <col min="1030" max="1030" width="26" style="269" customWidth="1"/>
    <col min="1031" max="1042" width="0" style="269" hidden="1" customWidth="1"/>
    <col min="1043" max="1053" width="10.5546875" style="269" customWidth="1"/>
    <col min="1054" max="1285" width="9.109375" style="269"/>
    <col min="1286" max="1286" width="26" style="269" customWidth="1"/>
    <col min="1287" max="1298" width="0" style="269" hidden="1" customWidth="1"/>
    <col min="1299" max="1309" width="10.5546875" style="269" customWidth="1"/>
    <col min="1310" max="1541" width="9.109375" style="269"/>
    <col min="1542" max="1542" width="26" style="269" customWidth="1"/>
    <col min="1543" max="1554" width="0" style="269" hidden="1" customWidth="1"/>
    <col min="1555" max="1565" width="10.5546875" style="269" customWidth="1"/>
    <col min="1566" max="1797" width="9.109375" style="269"/>
    <col min="1798" max="1798" width="26" style="269" customWidth="1"/>
    <col min="1799" max="1810" width="0" style="269" hidden="1" customWidth="1"/>
    <col min="1811" max="1821" width="10.5546875" style="269" customWidth="1"/>
    <col min="1822" max="2053" width="9.109375" style="269"/>
    <col min="2054" max="2054" width="26" style="269" customWidth="1"/>
    <col min="2055" max="2066" width="0" style="269" hidden="1" customWidth="1"/>
    <col min="2067" max="2077" width="10.5546875" style="269" customWidth="1"/>
    <col min="2078" max="2309" width="9.109375" style="269"/>
    <col min="2310" max="2310" width="26" style="269" customWidth="1"/>
    <col min="2311" max="2322" width="0" style="269" hidden="1" customWidth="1"/>
    <col min="2323" max="2333" width="10.5546875" style="269" customWidth="1"/>
    <col min="2334" max="2565" width="9.109375" style="269"/>
    <col min="2566" max="2566" width="26" style="269" customWidth="1"/>
    <col min="2567" max="2578" width="0" style="269" hidden="1" customWidth="1"/>
    <col min="2579" max="2589" width="10.5546875" style="269" customWidth="1"/>
    <col min="2590" max="2821" width="9.109375" style="269"/>
    <col min="2822" max="2822" width="26" style="269" customWidth="1"/>
    <col min="2823" max="2834" width="0" style="269" hidden="1" customWidth="1"/>
    <col min="2835" max="2845" width="10.5546875" style="269" customWidth="1"/>
    <col min="2846" max="3077" width="9.109375" style="269"/>
    <col min="3078" max="3078" width="26" style="269" customWidth="1"/>
    <col min="3079" max="3090" width="0" style="269" hidden="1" customWidth="1"/>
    <col min="3091" max="3101" width="10.5546875" style="269" customWidth="1"/>
    <col min="3102" max="3333" width="9.109375" style="269"/>
    <col min="3334" max="3334" width="26" style="269" customWidth="1"/>
    <col min="3335" max="3346" width="0" style="269" hidden="1" customWidth="1"/>
    <col min="3347" max="3357" width="10.5546875" style="269" customWidth="1"/>
    <col min="3358" max="3589" width="9.109375" style="269"/>
    <col min="3590" max="3590" width="26" style="269" customWidth="1"/>
    <col min="3591" max="3602" width="0" style="269" hidden="1" customWidth="1"/>
    <col min="3603" max="3613" width="10.5546875" style="269" customWidth="1"/>
    <col min="3614" max="3845" width="9.109375" style="269"/>
    <col min="3846" max="3846" width="26" style="269" customWidth="1"/>
    <col min="3847" max="3858" width="0" style="269" hidden="1" customWidth="1"/>
    <col min="3859" max="3869" width="10.5546875" style="269" customWidth="1"/>
    <col min="3870" max="4101" width="9.109375" style="269"/>
    <col min="4102" max="4102" width="26" style="269" customWidth="1"/>
    <col min="4103" max="4114" width="0" style="269" hidden="1" customWidth="1"/>
    <col min="4115" max="4125" width="10.5546875" style="269" customWidth="1"/>
    <col min="4126" max="4357" width="9.109375" style="269"/>
    <col min="4358" max="4358" width="26" style="269" customWidth="1"/>
    <col min="4359" max="4370" width="0" style="269" hidden="1" customWidth="1"/>
    <col min="4371" max="4381" width="10.5546875" style="269" customWidth="1"/>
    <col min="4382" max="4613" width="9.109375" style="269"/>
    <col min="4614" max="4614" width="26" style="269" customWidth="1"/>
    <col min="4615" max="4626" width="0" style="269" hidden="1" customWidth="1"/>
    <col min="4627" max="4637" width="10.5546875" style="269" customWidth="1"/>
    <col min="4638" max="4869" width="9.109375" style="269"/>
    <col min="4870" max="4870" width="26" style="269" customWidth="1"/>
    <col min="4871" max="4882" width="0" style="269" hidden="1" customWidth="1"/>
    <col min="4883" max="4893" width="10.5546875" style="269" customWidth="1"/>
    <col min="4894" max="5125" width="9.109375" style="269"/>
    <col min="5126" max="5126" width="26" style="269" customWidth="1"/>
    <col min="5127" max="5138" width="0" style="269" hidden="1" customWidth="1"/>
    <col min="5139" max="5149" width="10.5546875" style="269" customWidth="1"/>
    <col min="5150" max="5381" width="9.109375" style="269"/>
    <col min="5382" max="5382" width="26" style="269" customWidth="1"/>
    <col min="5383" max="5394" width="0" style="269" hidden="1" customWidth="1"/>
    <col min="5395" max="5405" width="10.5546875" style="269" customWidth="1"/>
    <col min="5406" max="5637" width="9.109375" style="269"/>
    <col min="5638" max="5638" width="26" style="269" customWidth="1"/>
    <col min="5639" max="5650" width="0" style="269" hidden="1" customWidth="1"/>
    <col min="5651" max="5661" width="10.5546875" style="269" customWidth="1"/>
    <col min="5662" max="5893" width="9.109375" style="269"/>
    <col min="5894" max="5894" width="26" style="269" customWidth="1"/>
    <col min="5895" max="5906" width="0" style="269" hidden="1" customWidth="1"/>
    <col min="5907" max="5917" width="10.5546875" style="269" customWidth="1"/>
    <col min="5918" max="6149" width="9.109375" style="269"/>
    <col min="6150" max="6150" width="26" style="269" customWidth="1"/>
    <col min="6151" max="6162" width="0" style="269" hidden="1" customWidth="1"/>
    <col min="6163" max="6173" width="10.5546875" style="269" customWidth="1"/>
    <col min="6174" max="6405" width="9.109375" style="269"/>
    <col min="6406" max="6406" width="26" style="269" customWidth="1"/>
    <col min="6407" max="6418" width="0" style="269" hidden="1" customWidth="1"/>
    <col min="6419" max="6429" width="10.5546875" style="269" customWidth="1"/>
    <col min="6430" max="6661" width="9.109375" style="269"/>
    <col min="6662" max="6662" width="26" style="269" customWidth="1"/>
    <col min="6663" max="6674" width="0" style="269" hidden="1" customWidth="1"/>
    <col min="6675" max="6685" width="10.5546875" style="269" customWidth="1"/>
    <col min="6686" max="6917" width="9.109375" style="269"/>
    <col min="6918" max="6918" width="26" style="269" customWidth="1"/>
    <col min="6919" max="6930" width="0" style="269" hidden="1" customWidth="1"/>
    <col min="6931" max="6941" width="10.5546875" style="269" customWidth="1"/>
    <col min="6942" max="7173" width="9.109375" style="269"/>
    <col min="7174" max="7174" width="26" style="269" customWidth="1"/>
    <col min="7175" max="7186" width="0" style="269" hidden="1" customWidth="1"/>
    <col min="7187" max="7197" width="10.5546875" style="269" customWidth="1"/>
    <col min="7198" max="7429" width="9.109375" style="269"/>
    <col min="7430" max="7430" width="26" style="269" customWidth="1"/>
    <col min="7431" max="7442" width="0" style="269" hidden="1" customWidth="1"/>
    <col min="7443" max="7453" width="10.5546875" style="269" customWidth="1"/>
    <col min="7454" max="7685" width="9.109375" style="269"/>
    <col min="7686" max="7686" width="26" style="269" customWidth="1"/>
    <col min="7687" max="7698" width="0" style="269" hidden="1" customWidth="1"/>
    <col min="7699" max="7709" width="10.5546875" style="269" customWidth="1"/>
    <col min="7710" max="7941" width="9.109375" style="269"/>
    <col min="7942" max="7942" width="26" style="269" customWidth="1"/>
    <col min="7943" max="7954" width="0" style="269" hidden="1" customWidth="1"/>
    <col min="7955" max="7965" width="10.5546875" style="269" customWidth="1"/>
    <col min="7966" max="8197" width="9.109375" style="269"/>
    <col min="8198" max="8198" width="26" style="269" customWidth="1"/>
    <col min="8199" max="8210" width="0" style="269" hidden="1" customWidth="1"/>
    <col min="8211" max="8221" width="10.5546875" style="269" customWidth="1"/>
    <col min="8222" max="8453" width="9.109375" style="269"/>
    <col min="8454" max="8454" width="26" style="269" customWidth="1"/>
    <col min="8455" max="8466" width="0" style="269" hidden="1" customWidth="1"/>
    <col min="8467" max="8477" width="10.5546875" style="269" customWidth="1"/>
    <col min="8478" max="8709" width="9.109375" style="269"/>
    <col min="8710" max="8710" width="26" style="269" customWidth="1"/>
    <col min="8711" max="8722" width="0" style="269" hidden="1" customWidth="1"/>
    <col min="8723" max="8733" width="10.5546875" style="269" customWidth="1"/>
    <col min="8734" max="8965" width="9.109375" style="269"/>
    <col min="8966" max="8966" width="26" style="269" customWidth="1"/>
    <col min="8967" max="8978" width="0" style="269" hidden="1" customWidth="1"/>
    <col min="8979" max="8989" width="10.5546875" style="269" customWidth="1"/>
    <col min="8990" max="9221" width="9.109375" style="269"/>
    <col min="9222" max="9222" width="26" style="269" customWidth="1"/>
    <col min="9223" max="9234" width="0" style="269" hidden="1" customWidth="1"/>
    <col min="9235" max="9245" width="10.5546875" style="269" customWidth="1"/>
    <col min="9246" max="9477" width="9.109375" style="269"/>
    <col min="9478" max="9478" width="26" style="269" customWidth="1"/>
    <col min="9479" max="9490" width="0" style="269" hidden="1" customWidth="1"/>
    <col min="9491" max="9501" width="10.5546875" style="269" customWidth="1"/>
    <col min="9502" max="9733" width="9.109375" style="269"/>
    <col min="9734" max="9734" width="26" style="269" customWidth="1"/>
    <col min="9735" max="9746" width="0" style="269" hidden="1" customWidth="1"/>
    <col min="9747" max="9757" width="10.5546875" style="269" customWidth="1"/>
    <col min="9758" max="9989" width="9.109375" style="269"/>
    <col min="9990" max="9990" width="26" style="269" customWidth="1"/>
    <col min="9991" max="10002" width="0" style="269" hidden="1" customWidth="1"/>
    <col min="10003" max="10013" width="10.5546875" style="269" customWidth="1"/>
    <col min="10014" max="10245" width="9.109375" style="269"/>
    <col min="10246" max="10246" width="26" style="269" customWidth="1"/>
    <col min="10247" max="10258" width="0" style="269" hidden="1" customWidth="1"/>
    <col min="10259" max="10269" width="10.5546875" style="269" customWidth="1"/>
    <col min="10270" max="10501" width="9.109375" style="269"/>
    <col min="10502" max="10502" width="26" style="269" customWidth="1"/>
    <col min="10503" max="10514" width="0" style="269" hidden="1" customWidth="1"/>
    <col min="10515" max="10525" width="10.5546875" style="269" customWidth="1"/>
    <col min="10526" max="10757" width="9.109375" style="269"/>
    <col min="10758" max="10758" width="26" style="269" customWidth="1"/>
    <col min="10759" max="10770" width="0" style="269" hidden="1" customWidth="1"/>
    <col min="10771" max="10781" width="10.5546875" style="269" customWidth="1"/>
    <col min="10782" max="11013" width="9.109375" style="269"/>
    <col min="11014" max="11014" width="26" style="269" customWidth="1"/>
    <col min="11015" max="11026" width="0" style="269" hidden="1" customWidth="1"/>
    <col min="11027" max="11037" width="10.5546875" style="269" customWidth="1"/>
    <col min="11038" max="11269" width="9.109375" style="269"/>
    <col min="11270" max="11270" width="26" style="269" customWidth="1"/>
    <col min="11271" max="11282" width="0" style="269" hidden="1" customWidth="1"/>
    <col min="11283" max="11293" width="10.5546875" style="269" customWidth="1"/>
    <col min="11294" max="11525" width="9.109375" style="269"/>
    <col min="11526" max="11526" width="26" style="269" customWidth="1"/>
    <col min="11527" max="11538" width="0" style="269" hidden="1" customWidth="1"/>
    <col min="11539" max="11549" width="10.5546875" style="269" customWidth="1"/>
    <col min="11550" max="11781" width="9.109375" style="269"/>
    <col min="11782" max="11782" width="26" style="269" customWidth="1"/>
    <col min="11783" max="11794" width="0" style="269" hidden="1" customWidth="1"/>
    <col min="11795" max="11805" width="10.5546875" style="269" customWidth="1"/>
    <col min="11806" max="12037" width="9.109375" style="269"/>
    <col min="12038" max="12038" width="26" style="269" customWidth="1"/>
    <col min="12039" max="12050" width="0" style="269" hidden="1" customWidth="1"/>
    <col min="12051" max="12061" width="10.5546875" style="269" customWidth="1"/>
    <col min="12062" max="12293" width="9.109375" style="269"/>
    <col min="12294" max="12294" width="26" style="269" customWidth="1"/>
    <col min="12295" max="12306" width="0" style="269" hidden="1" customWidth="1"/>
    <col min="12307" max="12317" width="10.5546875" style="269" customWidth="1"/>
    <col min="12318" max="12549" width="9.109375" style="269"/>
    <col min="12550" max="12550" width="26" style="269" customWidth="1"/>
    <col min="12551" max="12562" width="0" style="269" hidden="1" customWidth="1"/>
    <col min="12563" max="12573" width="10.5546875" style="269" customWidth="1"/>
    <col min="12574" max="12805" width="9.109375" style="269"/>
    <col min="12806" max="12806" width="26" style="269" customWidth="1"/>
    <col min="12807" max="12818" width="0" style="269" hidden="1" customWidth="1"/>
    <col min="12819" max="12829" width="10.5546875" style="269" customWidth="1"/>
    <col min="12830" max="13061" width="9.109375" style="269"/>
    <col min="13062" max="13062" width="26" style="269" customWidth="1"/>
    <col min="13063" max="13074" width="0" style="269" hidden="1" customWidth="1"/>
    <col min="13075" max="13085" width="10.5546875" style="269" customWidth="1"/>
    <col min="13086" max="13317" width="9.109375" style="269"/>
    <col min="13318" max="13318" width="26" style="269" customWidth="1"/>
    <col min="13319" max="13330" width="0" style="269" hidden="1" customWidth="1"/>
    <col min="13331" max="13341" width="10.5546875" style="269" customWidth="1"/>
    <col min="13342" max="13573" width="9.109375" style="269"/>
    <col min="13574" max="13574" width="26" style="269" customWidth="1"/>
    <col min="13575" max="13586" width="0" style="269" hidden="1" customWidth="1"/>
    <col min="13587" max="13597" width="10.5546875" style="269" customWidth="1"/>
    <col min="13598" max="13829" width="9.109375" style="269"/>
    <col min="13830" max="13830" width="26" style="269" customWidth="1"/>
    <col min="13831" max="13842" width="0" style="269" hidden="1" customWidth="1"/>
    <col min="13843" max="13853" width="10.5546875" style="269" customWidth="1"/>
    <col min="13854" max="14085" width="9.109375" style="269"/>
    <col min="14086" max="14086" width="26" style="269" customWidth="1"/>
    <col min="14087" max="14098" width="0" style="269" hidden="1" customWidth="1"/>
    <col min="14099" max="14109" width="10.5546875" style="269" customWidth="1"/>
    <col min="14110" max="14341" width="9.109375" style="269"/>
    <col min="14342" max="14342" width="26" style="269" customWidth="1"/>
    <col min="14343" max="14354" width="0" style="269" hidden="1" customWidth="1"/>
    <col min="14355" max="14365" width="10.5546875" style="269" customWidth="1"/>
    <col min="14366" max="14597" width="9.109375" style="269"/>
    <col min="14598" max="14598" width="26" style="269" customWidth="1"/>
    <col min="14599" max="14610" width="0" style="269" hidden="1" customWidth="1"/>
    <col min="14611" max="14621" width="10.5546875" style="269" customWidth="1"/>
    <col min="14622" max="14853" width="9.109375" style="269"/>
    <col min="14854" max="14854" width="26" style="269" customWidth="1"/>
    <col min="14855" max="14866" width="0" style="269" hidden="1" customWidth="1"/>
    <col min="14867" max="14877" width="10.5546875" style="269" customWidth="1"/>
    <col min="14878" max="15109" width="9.109375" style="269"/>
    <col min="15110" max="15110" width="26" style="269" customWidth="1"/>
    <col min="15111" max="15122" width="0" style="269" hidden="1" customWidth="1"/>
    <col min="15123" max="15133" width="10.5546875" style="269" customWidth="1"/>
    <col min="15134" max="15365" width="9.109375" style="269"/>
    <col min="15366" max="15366" width="26" style="269" customWidth="1"/>
    <col min="15367" max="15378" width="0" style="269" hidden="1" customWidth="1"/>
    <col min="15379" max="15389" width="10.5546875" style="269" customWidth="1"/>
    <col min="15390" max="15621" width="9.109375" style="269"/>
    <col min="15622" max="15622" width="26" style="269" customWidth="1"/>
    <col min="15623" max="15634" width="0" style="269" hidden="1" customWidth="1"/>
    <col min="15635" max="15645" width="10.5546875" style="269" customWidth="1"/>
    <col min="15646" max="15877" width="9.109375" style="269"/>
    <col min="15878" max="15878" width="26" style="269" customWidth="1"/>
    <col min="15879" max="15890" width="0" style="269" hidden="1" customWidth="1"/>
    <col min="15891" max="15901" width="10.5546875" style="269" customWidth="1"/>
    <col min="15902" max="16133" width="9.109375" style="269"/>
    <col min="16134" max="16134" width="26" style="269" customWidth="1"/>
    <col min="16135" max="16146" width="0" style="269" hidden="1" customWidth="1"/>
    <col min="16147" max="16157" width="10.5546875" style="269" customWidth="1"/>
    <col min="16158" max="16384" width="9.109375" style="269"/>
  </cols>
  <sheetData>
    <row r="1" spans="1:30" ht="15.6" x14ac:dyDescent="0.3">
      <c r="A1" s="435" t="s">
        <v>254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336"/>
    </row>
    <row r="2" spans="1:30" ht="13.8" x14ac:dyDescent="0.2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</row>
    <row r="4" spans="1:30" s="271" customFormat="1" ht="39.6" x14ac:dyDescent="0.25">
      <c r="B4" s="271" t="s">
        <v>255</v>
      </c>
      <c r="C4" s="271" t="s">
        <v>256</v>
      </c>
      <c r="D4" s="271" t="s">
        <v>257</v>
      </c>
      <c r="E4" s="271" t="s">
        <v>258</v>
      </c>
      <c r="F4" s="271" t="s">
        <v>259</v>
      </c>
      <c r="G4" s="271" t="s">
        <v>260</v>
      </c>
      <c r="H4" s="271" t="s">
        <v>261</v>
      </c>
      <c r="I4" s="271" t="s">
        <v>262</v>
      </c>
      <c r="J4" s="271" t="s">
        <v>263</v>
      </c>
      <c r="K4" s="271" t="s">
        <v>264</v>
      </c>
      <c r="L4" s="271" t="s">
        <v>265</v>
      </c>
      <c r="M4" s="271" t="s">
        <v>266</v>
      </c>
      <c r="N4" s="271" t="s">
        <v>267</v>
      </c>
      <c r="O4" s="271" t="s">
        <v>268</v>
      </c>
      <c r="P4" s="271" t="s">
        <v>269</v>
      </c>
      <c r="Q4" s="271" t="s">
        <v>270</v>
      </c>
      <c r="R4" s="271" t="s">
        <v>271</v>
      </c>
      <c r="S4" s="271" t="s">
        <v>272</v>
      </c>
      <c r="T4" s="271" t="s">
        <v>273</v>
      </c>
      <c r="U4" s="272" t="s">
        <v>274</v>
      </c>
      <c r="V4" s="272" t="s">
        <v>275</v>
      </c>
      <c r="W4" s="271" t="s">
        <v>276</v>
      </c>
      <c r="X4" s="271" t="s">
        <v>277</v>
      </c>
      <c r="Y4" s="271" t="s">
        <v>305</v>
      </c>
      <c r="Z4" s="271" t="s">
        <v>311</v>
      </c>
      <c r="AA4" s="271" t="s">
        <v>330</v>
      </c>
      <c r="AB4" s="271" t="s">
        <v>346</v>
      </c>
      <c r="AC4" s="271" t="s">
        <v>355</v>
      </c>
      <c r="AD4" s="273"/>
    </row>
    <row r="5" spans="1:30" s="274" customFormat="1" ht="10.199999999999999" x14ac:dyDescent="0.2">
      <c r="U5" s="275" t="s">
        <v>278</v>
      </c>
      <c r="V5" s="275" t="s">
        <v>278</v>
      </c>
      <c r="W5" s="275" t="s">
        <v>279</v>
      </c>
      <c r="X5" s="275" t="s">
        <v>280</v>
      </c>
      <c r="Y5" s="275"/>
      <c r="Z5" s="275" t="s">
        <v>323</v>
      </c>
      <c r="AA5" s="275" t="s">
        <v>339</v>
      </c>
      <c r="AB5" s="275" t="s">
        <v>347</v>
      </c>
      <c r="AC5" s="275" t="s">
        <v>379</v>
      </c>
      <c r="AD5" s="276"/>
    </row>
    <row r="6" spans="1:30" x14ac:dyDescent="0.25"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277"/>
      <c r="X6" s="277"/>
      <c r="Y6" s="277"/>
      <c r="Z6" s="277"/>
      <c r="AA6" s="277"/>
      <c r="AB6" s="277"/>
      <c r="AC6" s="277"/>
    </row>
    <row r="7" spans="1:30" s="278" customFormat="1" x14ac:dyDescent="0.25">
      <c r="A7" s="333" t="s">
        <v>342</v>
      </c>
      <c r="B7" s="278">
        <v>0.10829999999999999</v>
      </c>
      <c r="C7" s="278">
        <v>0.10100000000000001</v>
      </c>
      <c r="D7" s="278">
        <v>8.8300000000000003E-2</v>
      </c>
      <c r="E7" s="278">
        <f>0.1083-0.0282-0.0016-0.0072</f>
        <v>7.1299999999999988E-2</v>
      </c>
      <c r="F7" s="278">
        <v>0.05</v>
      </c>
      <c r="G7" s="278">
        <v>3.0300000000000001E-2</v>
      </c>
      <c r="H7" s="278">
        <v>3.4200000000000001E-2</v>
      </c>
      <c r="I7" s="279">
        <v>5.815E-2</v>
      </c>
      <c r="J7" s="278">
        <v>6.8199999999999997E-2</v>
      </c>
      <c r="K7" s="280">
        <f>'[1]TSERS detail'!L29</f>
        <v>2.6600000000000006E-2</v>
      </c>
      <c r="L7" s="278">
        <v>7.8299999999999995E-2</v>
      </c>
      <c r="M7" s="280">
        <v>8.14E-2</v>
      </c>
      <c r="N7" s="278">
        <v>8.7499999999999994E-2</v>
      </c>
      <c r="O7" s="280">
        <v>0.1051</v>
      </c>
      <c r="P7" s="278">
        <v>0.13120000000000001</v>
      </c>
      <c r="Q7" s="280">
        <v>0.14230000000000001</v>
      </c>
      <c r="R7" s="278">
        <v>0.1469</v>
      </c>
      <c r="S7" s="278">
        <v>0.15210000000000001</v>
      </c>
      <c r="T7" s="278">
        <v>0.1532</v>
      </c>
      <c r="U7" s="278">
        <v>0.16120000000000001</v>
      </c>
      <c r="V7" s="278">
        <v>0.16539999999999999</v>
      </c>
      <c r="W7" s="278">
        <v>0.17130000000000001</v>
      </c>
      <c r="X7" s="278">
        <v>0.18859999999999999</v>
      </c>
      <c r="Y7" s="278">
        <v>0.19700000000000001</v>
      </c>
      <c r="Z7" s="278">
        <v>0.21679999999999999</v>
      </c>
      <c r="AA7" s="278">
        <v>0.22889999999999999</v>
      </c>
      <c r="AB7" s="278">
        <v>0.245</v>
      </c>
      <c r="AC7" s="278">
        <v>0.25019999999999998</v>
      </c>
      <c r="AD7" s="268"/>
    </row>
    <row r="8" spans="1:30" s="281" customFormat="1" x14ac:dyDescent="0.25">
      <c r="B8" s="282"/>
      <c r="C8" s="283">
        <f>(C7/B7)-1</f>
        <v>-6.7405355493998065E-2</v>
      </c>
      <c r="D8" s="283">
        <f t="shared" ref="D8:Q8" si="0">(D7/C7)-1</f>
        <v>-0.12574257425742574</v>
      </c>
      <c r="E8" s="283">
        <f t="shared" si="0"/>
        <v>-0.19252548131370339</v>
      </c>
      <c r="F8" s="283">
        <f t="shared" si="0"/>
        <v>-0.29873772791023823</v>
      </c>
      <c r="G8" s="283">
        <f t="shared" si="0"/>
        <v>-0.39400000000000002</v>
      </c>
      <c r="H8" s="283">
        <f t="shared" si="0"/>
        <v>0.12871287128712883</v>
      </c>
      <c r="I8" s="283">
        <f t="shared" si="0"/>
        <v>0.70029239766081863</v>
      </c>
      <c r="J8" s="283">
        <f t="shared" si="0"/>
        <v>0.17282889079965602</v>
      </c>
      <c r="K8" s="283">
        <f t="shared" si="0"/>
        <v>-0.60997067448680342</v>
      </c>
      <c r="L8" s="283">
        <f t="shared" si="0"/>
        <v>1.94360902255639</v>
      </c>
      <c r="M8" s="283">
        <f t="shared" si="0"/>
        <v>3.9591315453384457E-2</v>
      </c>
      <c r="N8" s="283">
        <f t="shared" si="0"/>
        <v>7.493857493857492E-2</v>
      </c>
      <c r="O8" s="283">
        <f t="shared" si="0"/>
        <v>0.20114285714285729</v>
      </c>
      <c r="P8" s="283">
        <f t="shared" si="0"/>
        <v>0.24833491912464334</v>
      </c>
      <c r="Q8" s="283">
        <f t="shared" si="0"/>
        <v>8.4603658536585247E-2</v>
      </c>
      <c r="R8" s="283">
        <f>(R7/Q7)-1</f>
        <v>3.232607167955015E-2</v>
      </c>
      <c r="S8" s="283">
        <f>(S7/R7)-1</f>
        <v>3.539823008849563E-2</v>
      </c>
      <c r="T8" s="283">
        <f>(T7/S7)-1</f>
        <v>7.2320841551609671E-3</v>
      </c>
      <c r="U8" s="283">
        <f>(U7/S7)-1</f>
        <v>5.9829059829059839E-2</v>
      </c>
      <c r="V8" s="283">
        <f>(V7/T7)-1</f>
        <v>7.9634464751958234E-2</v>
      </c>
      <c r="W8" s="283">
        <f t="shared" ref="W8:AC8" si="1">(W7/V7)-1</f>
        <v>3.5671100362757002E-2</v>
      </c>
      <c r="X8" s="283">
        <f t="shared" si="1"/>
        <v>0.10099241097489764</v>
      </c>
      <c r="Y8" s="283">
        <f t="shared" si="1"/>
        <v>4.4538706256627814E-2</v>
      </c>
      <c r="Z8" s="283">
        <f t="shared" si="1"/>
        <v>0.10050761421319798</v>
      </c>
      <c r="AA8" s="283">
        <f t="shared" si="1"/>
        <v>5.5811808118081174E-2</v>
      </c>
      <c r="AB8" s="283">
        <f t="shared" si="1"/>
        <v>7.0336391437308965E-2</v>
      </c>
      <c r="AC8" s="283">
        <f t="shared" si="1"/>
        <v>2.12244897959184E-2</v>
      </c>
      <c r="AD8" s="284">
        <f>AVERAGE(X8:AC8)</f>
        <v>6.5568570132671991E-2</v>
      </c>
    </row>
    <row r="9" spans="1:30" s="278" customFormat="1" x14ac:dyDescent="0.25">
      <c r="A9" s="333" t="s">
        <v>343</v>
      </c>
      <c r="B9" s="278">
        <v>9.3600000000000003E-2</v>
      </c>
      <c r="C9" s="278">
        <v>9.3600000000000003E-2</v>
      </c>
      <c r="D9" s="278">
        <v>7.3599999999999999E-2</v>
      </c>
      <c r="E9" s="278">
        <f>0.0936-0.0072</f>
        <v>8.6400000000000005E-2</v>
      </c>
      <c r="F9" s="278">
        <v>9.7100000000000006E-2</v>
      </c>
      <c r="G9" s="278">
        <v>9.7100000000000006E-2</v>
      </c>
      <c r="H9" s="278">
        <v>0.1004</v>
      </c>
      <c r="I9" s="279">
        <v>0.10485</v>
      </c>
      <c r="J9" s="278">
        <v>0.1116</v>
      </c>
      <c r="K9" s="280">
        <f>'[1]ORP detail'!L29</f>
        <v>0.11159999999999999</v>
      </c>
      <c r="L9" s="278">
        <v>0.11459999999999999</v>
      </c>
      <c r="M9" s="280">
        <v>0.11459999999999999</v>
      </c>
      <c r="N9" s="278">
        <v>0.1186</v>
      </c>
      <c r="O9" s="280">
        <v>0.1226</v>
      </c>
      <c r="P9" s="278">
        <v>0.1236</v>
      </c>
      <c r="Q9" s="280">
        <v>0.1258</v>
      </c>
      <c r="R9" s="278">
        <v>0.1268</v>
      </c>
      <c r="S9" s="278">
        <v>0.12740000000000001</v>
      </c>
      <c r="T9" s="278">
        <v>0.1285</v>
      </c>
      <c r="U9" s="278">
        <v>0.12820000000000001</v>
      </c>
      <c r="V9" s="278">
        <v>0.13239999999999999</v>
      </c>
      <c r="W9" s="278">
        <v>0.1303</v>
      </c>
      <c r="X9" s="278">
        <v>0.13250000000000001</v>
      </c>
      <c r="Y9" s="278">
        <v>0.1341</v>
      </c>
      <c r="Z9" s="278">
        <v>0.1361</v>
      </c>
      <c r="AA9" s="278">
        <v>0.13220000000000001</v>
      </c>
      <c r="AB9" s="278">
        <v>0.13830000000000001</v>
      </c>
      <c r="AC9" s="278">
        <v>0.1409</v>
      </c>
      <c r="AD9" s="268"/>
    </row>
    <row r="10" spans="1:30" s="281" customFormat="1" x14ac:dyDescent="0.25">
      <c r="B10" s="282"/>
      <c r="C10" s="283">
        <f>(C9/B9)-1</f>
        <v>0</v>
      </c>
      <c r="D10" s="283">
        <f>(D9/C9)-1</f>
        <v>-0.21367521367521369</v>
      </c>
      <c r="E10" s="283">
        <f>(E9/D9)-1</f>
        <v>0.17391304347826098</v>
      </c>
      <c r="F10" s="283">
        <f>(F9/E9)-1</f>
        <v>0.12384259259259256</v>
      </c>
      <c r="G10" s="283">
        <f t="shared" ref="G10:S10" si="2">(G9/F9)-1</f>
        <v>0</v>
      </c>
      <c r="H10" s="283">
        <f t="shared" si="2"/>
        <v>3.3985581874356408E-2</v>
      </c>
      <c r="I10" s="283">
        <f t="shared" si="2"/>
        <v>4.4322709163346463E-2</v>
      </c>
      <c r="J10" s="283">
        <f t="shared" si="2"/>
        <v>6.4377682403433445E-2</v>
      </c>
      <c r="K10" s="283">
        <f t="shared" si="2"/>
        <v>0</v>
      </c>
      <c r="L10" s="283">
        <f t="shared" si="2"/>
        <v>2.6881720430107503E-2</v>
      </c>
      <c r="M10" s="283">
        <f t="shared" si="2"/>
        <v>0</v>
      </c>
      <c r="N10" s="283">
        <f t="shared" si="2"/>
        <v>3.4904013961605695E-2</v>
      </c>
      <c r="O10" s="283">
        <f t="shared" si="2"/>
        <v>3.3726812816188945E-2</v>
      </c>
      <c r="P10" s="283">
        <f t="shared" si="2"/>
        <v>8.1566068515497303E-3</v>
      </c>
      <c r="Q10" s="283">
        <f t="shared" si="2"/>
        <v>1.7799352750808906E-2</v>
      </c>
      <c r="R10" s="283">
        <f t="shared" si="2"/>
        <v>7.9491255961843255E-3</v>
      </c>
      <c r="S10" s="283">
        <f t="shared" si="2"/>
        <v>4.731861198738363E-3</v>
      </c>
      <c r="T10" s="283">
        <f>(T9/S9)-1</f>
        <v>8.6342229199372067E-3</v>
      </c>
      <c r="U10" s="283">
        <f>(U9/S9)-1</f>
        <v>6.2794348508634634E-3</v>
      </c>
      <c r="V10" s="283">
        <f>(V9/T9)-1</f>
        <v>3.0350194552529075E-2</v>
      </c>
      <c r="W10" s="283">
        <f>(W9/V9)-1</f>
        <v>-1.5861027190332222E-2</v>
      </c>
      <c r="X10" s="283">
        <f>(X9/W9)-1</f>
        <v>1.6884113584036964E-2</v>
      </c>
      <c r="Y10" s="283">
        <f>(Y9/X9)-1</f>
        <v>1.2075471698113072E-2</v>
      </c>
      <c r="Z10" s="283">
        <f>(Z9/Y9)-1</f>
        <v>1.4914243102162494E-2</v>
      </c>
      <c r="AA10" s="283">
        <f t="shared" ref="AA10:AC10" si="3">(AA9/Z9)-1</f>
        <v>-2.8655400440852241E-2</v>
      </c>
      <c r="AB10" s="283">
        <f t="shared" si="3"/>
        <v>4.614220877458397E-2</v>
      </c>
      <c r="AC10" s="283">
        <f t="shared" si="3"/>
        <v>1.8799710773680367E-2</v>
      </c>
      <c r="AD10" s="284">
        <f>AVERAGE(X10:AC10)</f>
        <v>1.3360057915287438E-2</v>
      </c>
    </row>
    <row r="11" spans="1:30" s="278" customFormat="1" ht="25.2" x14ac:dyDescent="0.25">
      <c r="A11" s="334" t="s">
        <v>344</v>
      </c>
      <c r="B11" s="278">
        <v>0.1583</v>
      </c>
      <c r="C11" s="278">
        <v>0.151</v>
      </c>
      <c r="D11" s="278">
        <v>0.13830000000000001</v>
      </c>
      <c r="E11" s="278">
        <f>0.1583-0.0282-0.0016-0.0072</f>
        <v>0.12130000000000001</v>
      </c>
      <c r="F11" s="278">
        <v>0.1</v>
      </c>
      <c r="G11" s="278">
        <v>8.0299999999999996E-2</v>
      </c>
      <c r="H11" s="278">
        <v>8.4199999999999997E-2</v>
      </c>
      <c r="I11" s="279">
        <v>0.10815</v>
      </c>
      <c r="J11" s="278">
        <v>0.1182</v>
      </c>
      <c r="K11" s="280">
        <f>'[1]LEOB detail'!L29</f>
        <v>0.12139999999999998</v>
      </c>
      <c r="L11" s="278">
        <v>0.1283</v>
      </c>
      <c r="M11" s="280">
        <v>0.13139999999999999</v>
      </c>
      <c r="N11" s="278">
        <v>0.13750000000000001</v>
      </c>
      <c r="O11" s="280">
        <v>0.15509999999999999</v>
      </c>
      <c r="P11" s="278">
        <v>0.1812</v>
      </c>
      <c r="Q11" s="280">
        <v>0.1923</v>
      </c>
      <c r="R11" s="278">
        <v>0.19689999999999999</v>
      </c>
      <c r="S11" s="278">
        <v>0.2021</v>
      </c>
      <c r="T11" s="278">
        <v>0.20319999999999999</v>
      </c>
      <c r="U11" s="278">
        <f>0.1612+0.05</f>
        <v>0.2112</v>
      </c>
      <c r="V11" s="278">
        <f>0.1654+0.05</f>
        <v>0.21539999999999998</v>
      </c>
      <c r="W11" s="278">
        <f>+W7+0.05</f>
        <v>0.2213</v>
      </c>
      <c r="X11" s="278">
        <f>+X7+0.05</f>
        <v>0.23859999999999998</v>
      </c>
      <c r="Y11" s="278">
        <v>0.247</v>
      </c>
      <c r="Z11" s="278">
        <v>0.26679999999999998</v>
      </c>
      <c r="AA11" s="278">
        <v>0.27889999999999998</v>
      </c>
      <c r="AB11" s="278">
        <v>0.29499999999999998</v>
      </c>
      <c r="AC11" s="278">
        <v>0.30020000000000002</v>
      </c>
      <c r="AD11" s="268"/>
    </row>
    <row r="12" spans="1:30" s="281" customFormat="1" x14ac:dyDescent="0.25">
      <c r="A12"/>
      <c r="B12" s="282"/>
      <c r="C12" s="283">
        <f>(C11/B11)-1</f>
        <v>-4.6114971572962737E-2</v>
      </c>
      <c r="D12" s="283">
        <f>(D11/C11)-1</f>
        <v>-8.4105960264900581E-2</v>
      </c>
      <c r="E12" s="283">
        <f>(E11/D11)-1</f>
        <v>-0.12292118582791034</v>
      </c>
      <c r="F12" s="283">
        <f>(F11/E11)-1</f>
        <v>-0.17559769167353667</v>
      </c>
      <c r="G12" s="283">
        <f t="shared" ref="G12:S12" si="4">(G11/F11)-1</f>
        <v>-0.19700000000000006</v>
      </c>
      <c r="H12" s="283">
        <f t="shared" si="4"/>
        <v>4.8567870485678677E-2</v>
      </c>
      <c r="I12" s="283">
        <f t="shared" si="4"/>
        <v>0.28444180522565321</v>
      </c>
      <c r="J12" s="283">
        <f t="shared" si="4"/>
        <v>9.2926490984743371E-2</v>
      </c>
      <c r="K12" s="283">
        <f t="shared" si="4"/>
        <v>2.7072758037224975E-2</v>
      </c>
      <c r="L12" s="283">
        <f t="shared" si="4"/>
        <v>5.6836902800659228E-2</v>
      </c>
      <c r="M12" s="283">
        <f t="shared" si="4"/>
        <v>2.4162120031176793E-2</v>
      </c>
      <c r="N12" s="283">
        <f t="shared" si="4"/>
        <v>4.6423135464231491E-2</v>
      </c>
      <c r="O12" s="283">
        <f t="shared" si="4"/>
        <v>0.12799999999999989</v>
      </c>
      <c r="P12" s="283">
        <f t="shared" si="4"/>
        <v>0.16827852998065773</v>
      </c>
      <c r="Q12" s="283">
        <f t="shared" si="4"/>
        <v>6.12582781456954E-2</v>
      </c>
      <c r="R12" s="283">
        <f t="shared" si="4"/>
        <v>2.3920956838273444E-2</v>
      </c>
      <c r="S12" s="283">
        <f t="shared" si="4"/>
        <v>2.6409344845099048E-2</v>
      </c>
      <c r="T12" s="283">
        <f>(T11/S11)-1</f>
        <v>5.4428500742207397E-3</v>
      </c>
      <c r="U12" s="283">
        <f>(U11/S11)-1</f>
        <v>4.502721425037115E-2</v>
      </c>
      <c r="V12" s="283">
        <f>(V11/T11)-1</f>
        <v>6.0039370078740051E-2</v>
      </c>
      <c r="W12" s="283">
        <f>(W11/V11)-1</f>
        <v>2.7390900649953753E-2</v>
      </c>
      <c r="X12" s="283">
        <f>(X11/W11)-1</f>
        <v>7.8174423859014741E-2</v>
      </c>
      <c r="Y12" s="283">
        <f>(Y11/X11)-1</f>
        <v>3.5205364626990754E-2</v>
      </c>
      <c r="Z12" s="283">
        <f>(Z11/Y11)-1</f>
        <v>8.0161943319837947E-2</v>
      </c>
      <c r="AA12" s="283">
        <f t="shared" ref="AA12:AC12" si="5">(AA11/Z11)-1</f>
        <v>4.5352323838080855E-2</v>
      </c>
      <c r="AB12" s="283">
        <f t="shared" si="5"/>
        <v>5.772678379347429E-2</v>
      </c>
      <c r="AC12" s="283">
        <f t="shared" si="5"/>
        <v>1.7627118644067963E-2</v>
      </c>
      <c r="AD12" s="284">
        <f>AVERAGE(X12:AC12)</f>
        <v>5.2374659680244427E-2</v>
      </c>
    </row>
    <row r="13" spans="1:30" s="285" customFormat="1" x14ac:dyDescent="0.25">
      <c r="I13" s="286"/>
      <c r="K13" s="286"/>
      <c r="M13" s="286"/>
      <c r="O13" s="286"/>
      <c r="Q13" s="286"/>
      <c r="S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7"/>
    </row>
    <row r="14" spans="1:30" s="285" customFormat="1" x14ac:dyDescent="0.25">
      <c r="I14" s="286"/>
      <c r="K14" s="286"/>
      <c r="M14" s="286"/>
      <c r="O14" s="286"/>
      <c r="Q14" s="286"/>
      <c r="S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7"/>
    </row>
    <row r="15" spans="1:30" s="289" customFormat="1" x14ac:dyDescent="0.25">
      <c r="A15" s="288" t="s">
        <v>281</v>
      </c>
      <c r="D15" s="290" t="s">
        <v>282</v>
      </c>
      <c r="E15" s="290" t="s">
        <v>283</v>
      </c>
      <c r="F15" s="291" t="s">
        <v>284</v>
      </c>
      <c r="G15" s="291">
        <v>37438</v>
      </c>
      <c r="H15" s="291">
        <v>37803</v>
      </c>
      <c r="I15" s="291">
        <v>38169</v>
      </c>
      <c r="J15" s="291">
        <v>38534</v>
      </c>
      <c r="K15" s="291">
        <v>38899</v>
      </c>
      <c r="L15" s="291">
        <v>39264</v>
      </c>
      <c r="M15" s="291">
        <v>39630</v>
      </c>
      <c r="N15" s="291">
        <v>39995</v>
      </c>
      <c r="O15" s="291">
        <v>40360</v>
      </c>
      <c r="P15" s="291">
        <v>40725</v>
      </c>
      <c r="Q15" s="291">
        <v>41091</v>
      </c>
      <c r="R15" s="291">
        <v>41456</v>
      </c>
      <c r="S15" s="291">
        <v>41821</v>
      </c>
      <c r="T15" s="291">
        <v>42186</v>
      </c>
      <c r="U15" s="291">
        <v>42552</v>
      </c>
      <c r="V15" s="291">
        <v>42736</v>
      </c>
      <c r="W15" s="291">
        <v>42917</v>
      </c>
      <c r="X15" s="291">
        <v>43282</v>
      </c>
      <c r="Y15" s="291">
        <v>43647</v>
      </c>
      <c r="Z15" s="291">
        <v>44013</v>
      </c>
      <c r="AA15" s="291">
        <v>44378</v>
      </c>
      <c r="AB15" s="291">
        <v>44743</v>
      </c>
      <c r="AC15" s="291">
        <v>45108</v>
      </c>
      <c r="AD15" s="292"/>
    </row>
    <row r="16" spans="1:30" s="285" customFormat="1" x14ac:dyDescent="0.25">
      <c r="D16" s="293"/>
      <c r="AD16" s="287"/>
    </row>
    <row r="17" spans="1:30" s="285" customFormat="1" x14ac:dyDescent="0.25">
      <c r="D17" s="293"/>
      <c r="AD17" s="287"/>
    </row>
    <row r="18" spans="1:30" x14ac:dyDescent="0.25">
      <c r="D18" s="294"/>
    </row>
    <row r="19" spans="1:30" x14ac:dyDescent="0.25">
      <c r="D19" s="294"/>
    </row>
    <row r="21" spans="1:30" s="295" customFormat="1" x14ac:dyDescent="0.25">
      <c r="A21" s="335" t="s">
        <v>345</v>
      </c>
      <c r="B21" s="295">
        <v>1736</v>
      </c>
      <c r="C21" s="295">
        <v>1736</v>
      </c>
      <c r="D21" s="295">
        <v>2256</v>
      </c>
      <c r="E21" s="295">
        <v>2256</v>
      </c>
      <c r="F21" s="295">
        <v>2933</v>
      </c>
      <c r="G21" s="295">
        <v>2933</v>
      </c>
      <c r="H21" s="295">
        <v>3432</v>
      </c>
      <c r="I21" s="295">
        <v>3432</v>
      </c>
      <c r="J21" s="295">
        <v>3748</v>
      </c>
      <c r="K21" s="296">
        <v>3854</v>
      </c>
      <c r="L21" s="295">
        <v>4183</v>
      </c>
      <c r="M21" s="296">
        <v>4157</v>
      </c>
      <c r="N21" s="295">
        <v>4527</v>
      </c>
      <c r="O21" s="296">
        <v>4929</v>
      </c>
      <c r="P21" s="295">
        <v>4931</v>
      </c>
      <c r="Q21" s="296">
        <v>5192</v>
      </c>
      <c r="R21" s="295">
        <v>5285</v>
      </c>
      <c r="S21" s="296">
        <v>5378</v>
      </c>
      <c r="T21" s="295">
        <v>5471</v>
      </c>
      <c r="U21" s="296">
        <v>5471</v>
      </c>
      <c r="V21" s="296">
        <f>+T21</f>
        <v>5471</v>
      </c>
      <c r="W21" s="296">
        <v>5869</v>
      </c>
      <c r="X21" s="296">
        <v>6104</v>
      </c>
      <c r="Y21" s="296">
        <v>6306</v>
      </c>
      <c r="Z21" s="296">
        <v>6326</v>
      </c>
      <c r="AA21" s="296">
        <v>7019</v>
      </c>
      <c r="AB21" s="296">
        <v>7397</v>
      </c>
      <c r="AC21" s="296">
        <v>7557</v>
      </c>
      <c r="AD21" s="268"/>
    </row>
    <row r="22" spans="1:30" s="295" customFormat="1" x14ac:dyDescent="0.25">
      <c r="K22" s="296"/>
      <c r="L22" s="295">
        <v>4052</v>
      </c>
      <c r="M22" s="296"/>
      <c r="O22" s="296"/>
      <c r="Q22" s="296"/>
      <c r="S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68"/>
    </row>
    <row r="23" spans="1:30" s="281" customFormat="1" x14ac:dyDescent="0.25">
      <c r="B23" s="282"/>
      <c r="C23" s="282"/>
      <c r="D23" s="283">
        <f t="shared" ref="D23:O23" si="6">(D21/C21)-1</f>
        <v>0.29953917050691237</v>
      </c>
      <c r="E23" s="283">
        <f t="shared" si="6"/>
        <v>0</v>
      </c>
      <c r="F23" s="283">
        <f t="shared" si="6"/>
        <v>0.30008865248226946</v>
      </c>
      <c r="G23" s="283">
        <f t="shared" si="6"/>
        <v>0</v>
      </c>
      <c r="H23" s="283">
        <f t="shared" si="6"/>
        <v>0.17013296965564262</v>
      </c>
      <c r="I23" s="283">
        <f t="shared" si="6"/>
        <v>0</v>
      </c>
      <c r="J23" s="283">
        <f t="shared" si="6"/>
        <v>9.207459207459201E-2</v>
      </c>
      <c r="K23" s="283">
        <f t="shared" si="6"/>
        <v>2.8281750266808903E-2</v>
      </c>
      <c r="L23" s="283">
        <f t="shared" si="6"/>
        <v>8.5365853658536661E-2</v>
      </c>
      <c r="M23" s="283">
        <f t="shared" si="6"/>
        <v>-6.2156347119292077E-3</v>
      </c>
      <c r="N23" s="283">
        <f t="shared" si="6"/>
        <v>8.9006495068558955E-2</v>
      </c>
      <c r="O23" s="283">
        <f t="shared" si="6"/>
        <v>8.8800530152418844E-2</v>
      </c>
      <c r="P23" s="283">
        <f>(P21/O21)-1</f>
        <v>4.0576181781304399E-4</v>
      </c>
      <c r="Q23" s="283">
        <f>(Q21/P21)-1</f>
        <v>5.2930440073007512E-2</v>
      </c>
      <c r="R23" s="283">
        <f>(R21/Q21)-1</f>
        <v>1.7912172573189444E-2</v>
      </c>
      <c r="S23" s="283">
        <f>(S21/R21)-1</f>
        <v>1.7596972563860058E-2</v>
      </c>
      <c r="T23" s="283">
        <f>(T21/S21)-1</f>
        <v>1.7292673856452279E-2</v>
      </c>
      <c r="U23" s="283">
        <f t="shared" ref="U23:Z23" si="7">(U21/S21)-1</f>
        <v>1.7292673856452279E-2</v>
      </c>
      <c r="V23" s="283">
        <f t="shared" si="7"/>
        <v>0</v>
      </c>
      <c r="W23" s="283">
        <f>(W21/U21)-1</f>
        <v>7.2747212575397624E-2</v>
      </c>
      <c r="X23" s="283">
        <f>(X21/V21)-1</f>
        <v>0.11570096874428804</v>
      </c>
      <c r="Y23" s="283">
        <f>(Y21/W21)-1</f>
        <v>7.4459021979894402E-2</v>
      </c>
      <c r="Z23" s="283">
        <f t="shared" si="7"/>
        <v>3.6369593709043357E-2</v>
      </c>
      <c r="AA23" s="283">
        <f>(AA21/Y21)-1</f>
        <v>0.11306692039327615</v>
      </c>
      <c r="AB23" s="283">
        <f t="shared" ref="AB23:AC23" si="8">(AB21/Z21)-1</f>
        <v>0.16930129623774892</v>
      </c>
      <c r="AC23" s="283">
        <f t="shared" si="8"/>
        <v>7.664909531272257E-2</v>
      </c>
      <c r="AD23" s="284">
        <f>AVERAGE(X23:AC23)</f>
        <v>9.7591149396162244E-2</v>
      </c>
    </row>
    <row r="24" spans="1:30" s="281" customFormat="1" x14ac:dyDescent="0.25">
      <c r="B24" s="282"/>
      <c r="C24" s="282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68"/>
    </row>
    <row r="25" spans="1:30" s="281" customFormat="1" x14ac:dyDescent="0.25">
      <c r="A25" s="288" t="s">
        <v>281</v>
      </c>
      <c r="B25" s="282"/>
      <c r="C25" s="282"/>
      <c r="D25" s="437" t="s">
        <v>285</v>
      </c>
      <c r="E25" s="277" t="s">
        <v>286</v>
      </c>
      <c r="F25" s="437" t="s">
        <v>287</v>
      </c>
      <c r="G25" s="291">
        <v>37438</v>
      </c>
      <c r="H25" s="437" t="s">
        <v>288</v>
      </c>
      <c r="I25" s="291">
        <v>38169</v>
      </c>
      <c r="J25" s="437" t="s">
        <v>289</v>
      </c>
      <c r="K25" s="291">
        <v>38899</v>
      </c>
      <c r="L25" s="439" t="s">
        <v>290</v>
      </c>
      <c r="M25" s="291">
        <v>39630</v>
      </c>
      <c r="N25" s="291">
        <v>39995</v>
      </c>
      <c r="O25" s="291">
        <v>40360</v>
      </c>
      <c r="P25" s="291">
        <v>40725</v>
      </c>
      <c r="Q25" s="291">
        <v>41091</v>
      </c>
      <c r="R25" s="291">
        <v>41456</v>
      </c>
      <c r="S25" s="291">
        <v>41821</v>
      </c>
      <c r="T25" s="291">
        <v>42186</v>
      </c>
      <c r="U25" s="291">
        <f>+U15</f>
        <v>42552</v>
      </c>
      <c r="V25" s="291">
        <f t="shared" ref="V25:AB25" si="9">+V15</f>
        <v>42736</v>
      </c>
      <c r="W25" s="291">
        <f t="shared" si="9"/>
        <v>42917</v>
      </c>
      <c r="X25" s="291">
        <f t="shared" si="9"/>
        <v>43282</v>
      </c>
      <c r="Y25" s="291">
        <f t="shared" si="9"/>
        <v>43647</v>
      </c>
      <c r="Z25" s="291">
        <f t="shared" si="9"/>
        <v>44013</v>
      </c>
      <c r="AA25" s="291">
        <f t="shared" si="9"/>
        <v>44378</v>
      </c>
      <c r="AB25" s="291">
        <f t="shared" si="9"/>
        <v>44743</v>
      </c>
      <c r="AC25" s="291">
        <v>45108</v>
      </c>
      <c r="AD25" s="268"/>
    </row>
    <row r="26" spans="1:30" ht="12.75" customHeight="1" x14ac:dyDescent="0.25">
      <c r="A26" s="281"/>
      <c r="B26" s="282"/>
      <c r="D26" s="438"/>
      <c r="E26" s="297"/>
      <c r="F26" s="438"/>
      <c r="G26" s="297"/>
      <c r="H26" s="438"/>
      <c r="J26" s="438"/>
      <c r="L26" s="440"/>
    </row>
    <row r="27" spans="1:30" ht="12.75" customHeight="1" thickBot="1" x14ac:dyDescent="0.3">
      <c r="A27" s="281"/>
      <c r="B27" s="282"/>
      <c r="D27" s="438"/>
      <c r="E27" s="297"/>
      <c r="F27" s="438"/>
      <c r="G27" s="297"/>
      <c r="H27" s="438"/>
      <c r="J27" s="438"/>
      <c r="L27" s="440"/>
    </row>
    <row r="28" spans="1:30" s="281" customFormat="1" ht="12.75" customHeight="1" x14ac:dyDescent="0.25">
      <c r="A28" s="298" t="s">
        <v>291</v>
      </c>
      <c r="B28" s="282"/>
      <c r="C28" s="282"/>
      <c r="D28" s="438"/>
      <c r="E28" s="297"/>
      <c r="F28" s="438"/>
      <c r="G28" s="297"/>
      <c r="H28" s="438"/>
      <c r="I28" s="269"/>
      <c r="J28" s="438"/>
      <c r="K28" s="269"/>
      <c r="L28" s="440"/>
      <c r="M28" s="269"/>
      <c r="N28" s="299">
        <v>70000</v>
      </c>
      <c r="O28" s="299">
        <v>70000</v>
      </c>
      <c r="P28" s="299">
        <v>70000</v>
      </c>
      <c r="Q28" s="299">
        <v>70000</v>
      </c>
      <c r="R28" s="299">
        <v>70000</v>
      </c>
      <c r="S28" s="299">
        <v>70000</v>
      </c>
      <c r="T28" s="299">
        <v>70000</v>
      </c>
      <c r="U28" s="299">
        <v>70000</v>
      </c>
      <c r="V28" s="299">
        <v>70000</v>
      </c>
      <c r="W28" s="299">
        <v>47500</v>
      </c>
      <c r="X28" s="299">
        <v>70000</v>
      </c>
      <c r="Y28" s="299">
        <v>70000</v>
      </c>
      <c r="Z28" s="299">
        <v>70000</v>
      </c>
      <c r="AA28" s="299">
        <v>70000</v>
      </c>
      <c r="AB28" s="299">
        <v>70000</v>
      </c>
      <c r="AC28" s="299">
        <v>70000</v>
      </c>
      <c r="AD28" s="268"/>
    </row>
    <row r="29" spans="1:30" x14ac:dyDescent="0.25">
      <c r="A29" s="300" t="s">
        <v>292</v>
      </c>
      <c r="L29" s="441" t="s">
        <v>293</v>
      </c>
      <c r="N29" s="278">
        <f>+N$21/N28</f>
        <v>6.4671428571428574E-2</v>
      </c>
      <c r="O29" s="278">
        <f t="shared" ref="O29:W29" si="10">+O$21/O28</f>
        <v>7.0414285714285721E-2</v>
      </c>
      <c r="P29" s="278">
        <f t="shared" si="10"/>
        <v>7.044285714285714E-2</v>
      </c>
      <c r="Q29" s="278">
        <f t="shared" si="10"/>
        <v>7.4171428571428569E-2</v>
      </c>
      <c r="R29" s="278">
        <f t="shared" si="10"/>
        <v>7.5499999999999998E-2</v>
      </c>
      <c r="S29" s="278">
        <f t="shared" si="10"/>
        <v>7.6828571428571427E-2</v>
      </c>
      <c r="T29" s="278">
        <f t="shared" si="10"/>
        <v>7.8157142857142856E-2</v>
      </c>
      <c r="U29" s="278">
        <f t="shared" si="10"/>
        <v>7.8157142857142856E-2</v>
      </c>
      <c r="V29" s="278">
        <f t="shared" si="10"/>
        <v>7.8157142857142856E-2</v>
      </c>
      <c r="W29" s="278">
        <f t="shared" si="10"/>
        <v>0.1235578947368421</v>
      </c>
      <c r="X29" s="278">
        <f>+X$21/X28</f>
        <v>8.72E-2</v>
      </c>
      <c r="Y29" s="278">
        <f t="shared" ref="Y29" si="11">+Y$21/Y28</f>
        <v>9.0085714285714283E-2</v>
      </c>
      <c r="Z29" s="278">
        <f>+Z$21/Z28</f>
        <v>9.0371428571428575E-2</v>
      </c>
      <c r="AA29" s="278">
        <f>+AA$21/AA28</f>
        <v>0.10027142857142857</v>
      </c>
      <c r="AB29" s="278">
        <f>+AB$21/AB28</f>
        <v>0.10567142857142857</v>
      </c>
      <c r="AC29" s="278">
        <f>+AC$21/AC28</f>
        <v>0.10795714285714286</v>
      </c>
    </row>
    <row r="30" spans="1:30" x14ac:dyDescent="0.25">
      <c r="A30" s="301" t="s">
        <v>294</v>
      </c>
      <c r="L30" s="441"/>
      <c r="N30" s="278">
        <f>AVERAGE(N$7,N$9)</f>
        <v>0.10305</v>
      </c>
      <c r="O30" s="278">
        <f t="shared" ref="O30:W30" si="12">AVERAGE(O$7,O$9)</f>
        <v>0.11385000000000001</v>
      </c>
      <c r="P30" s="278">
        <f t="shared" si="12"/>
        <v>0.12740000000000001</v>
      </c>
      <c r="Q30" s="278">
        <f t="shared" si="12"/>
        <v>0.13405</v>
      </c>
      <c r="R30" s="278">
        <f t="shared" si="12"/>
        <v>0.13685</v>
      </c>
      <c r="S30" s="278">
        <f t="shared" si="12"/>
        <v>0.13975000000000001</v>
      </c>
      <c r="T30" s="278">
        <f t="shared" si="12"/>
        <v>0.14085</v>
      </c>
      <c r="U30" s="278">
        <f t="shared" si="12"/>
        <v>0.1447</v>
      </c>
      <c r="V30" s="278">
        <f t="shared" si="12"/>
        <v>0.14889999999999998</v>
      </c>
      <c r="W30" s="278">
        <f t="shared" si="12"/>
        <v>0.15079999999999999</v>
      </c>
      <c r="X30" s="278">
        <f t="shared" ref="X30:AC30" si="13">AVERAGE(X$7,X$9)</f>
        <v>0.16055</v>
      </c>
      <c r="Y30" s="278">
        <f t="shared" si="13"/>
        <v>0.16555</v>
      </c>
      <c r="Z30" s="278">
        <f t="shared" si="13"/>
        <v>0.17645</v>
      </c>
      <c r="AA30" s="278">
        <f t="shared" si="13"/>
        <v>0.18054999999999999</v>
      </c>
      <c r="AB30" s="278">
        <f t="shared" si="13"/>
        <v>0.19164999999999999</v>
      </c>
      <c r="AC30" s="278">
        <f t="shared" si="13"/>
        <v>0.19555</v>
      </c>
    </row>
    <row r="31" spans="1:30" x14ac:dyDescent="0.25">
      <c r="A31" s="302" t="s">
        <v>4</v>
      </c>
      <c r="L31" s="441"/>
      <c r="N31" s="278">
        <v>7.6499999999999999E-2</v>
      </c>
      <c r="O31" s="278">
        <v>7.6499999999999999E-2</v>
      </c>
      <c r="P31" s="278">
        <v>7.6499999999999999E-2</v>
      </c>
      <c r="Q31" s="278">
        <v>7.6499999999999999E-2</v>
      </c>
      <c r="R31" s="278">
        <v>7.6499999999999999E-2</v>
      </c>
      <c r="S31" s="278">
        <v>7.6499999999999999E-2</v>
      </c>
      <c r="T31" s="278">
        <v>7.6499999999999999E-2</v>
      </c>
      <c r="U31" s="278">
        <v>7.6499999999999999E-2</v>
      </c>
      <c r="V31" s="278">
        <v>7.6499999999999999E-2</v>
      </c>
      <c r="W31" s="278">
        <v>7.6499999999999999E-2</v>
      </c>
      <c r="X31" s="278">
        <v>7.6499999999999999E-2</v>
      </c>
      <c r="Y31" s="278">
        <v>7.6499999999999999E-2</v>
      </c>
      <c r="Z31" s="278">
        <v>7.6499999999999999E-2</v>
      </c>
      <c r="AA31" s="278">
        <v>7.6499999999999999E-2</v>
      </c>
      <c r="AB31" s="278">
        <v>7.6499999999999999E-2</v>
      </c>
      <c r="AC31" s="278">
        <v>7.6499999999999999E-2</v>
      </c>
    </row>
    <row r="32" spans="1:30" ht="13.8" thickBot="1" x14ac:dyDescent="0.3">
      <c r="A32" s="303" t="s">
        <v>295</v>
      </c>
      <c r="L32" s="440"/>
      <c r="N32" s="304">
        <f t="shared" ref="N32:Y32" si="14">SUM(N29:N31)</f>
        <v>0.24422142857142859</v>
      </c>
      <c r="O32" s="304">
        <f t="shared" si="14"/>
        <v>0.26076428571428573</v>
      </c>
      <c r="P32" s="304">
        <f t="shared" si="14"/>
        <v>0.27434285714285717</v>
      </c>
      <c r="Q32" s="304">
        <f t="shared" si="14"/>
        <v>0.28472142857142857</v>
      </c>
      <c r="R32" s="304">
        <f t="shared" si="14"/>
        <v>0.28885</v>
      </c>
      <c r="S32" s="304">
        <f t="shared" si="14"/>
        <v>0.29307857142857147</v>
      </c>
      <c r="T32" s="304">
        <f t="shared" si="14"/>
        <v>0.29550714285714286</v>
      </c>
      <c r="U32" s="304">
        <f t="shared" si="14"/>
        <v>0.29935714285714288</v>
      </c>
      <c r="V32" s="304">
        <f t="shared" si="14"/>
        <v>0.30355714285714286</v>
      </c>
      <c r="W32" s="304">
        <f t="shared" si="14"/>
        <v>0.35085789473684209</v>
      </c>
      <c r="X32" s="304">
        <f>SUM(X29:X31)</f>
        <v>0.32424999999999998</v>
      </c>
      <c r="Y32" s="304">
        <f t="shared" si="14"/>
        <v>0.33213571428571431</v>
      </c>
      <c r="Z32" s="304">
        <f t="shared" ref="Z32:AB32" si="15">SUM(Z29:Z31)</f>
        <v>0.34332142857142856</v>
      </c>
      <c r="AA32" s="304">
        <f t="shared" si="15"/>
        <v>0.35732142857142857</v>
      </c>
      <c r="AB32" s="304">
        <f t="shared" si="15"/>
        <v>0.37382142857142858</v>
      </c>
      <c r="AC32" s="304">
        <f t="shared" ref="AC32" si="16">SUM(AC29:AC31)</f>
        <v>0.38000714285714288</v>
      </c>
    </row>
    <row r="33" spans="1:30" ht="13.8" thickBot="1" x14ac:dyDescent="0.3">
      <c r="L33" s="440"/>
    </row>
    <row r="34" spans="1:30" s="281" customFormat="1" ht="12.75" customHeight="1" x14ac:dyDescent="0.25">
      <c r="A34" s="298" t="s">
        <v>291</v>
      </c>
      <c r="B34" s="282"/>
      <c r="C34" s="282"/>
      <c r="D34" s="269"/>
      <c r="E34" s="297"/>
      <c r="F34" s="269"/>
      <c r="G34" s="297"/>
      <c r="H34" s="269"/>
      <c r="I34" s="269"/>
      <c r="J34" s="269"/>
      <c r="K34" s="269"/>
      <c r="L34" s="440"/>
      <c r="M34" s="269"/>
      <c r="N34" s="299">
        <v>120000</v>
      </c>
      <c r="O34" s="299">
        <v>120000</v>
      </c>
      <c r="P34" s="299">
        <v>120000</v>
      </c>
      <c r="Q34" s="299">
        <v>120000</v>
      </c>
      <c r="R34" s="299">
        <v>120000</v>
      </c>
      <c r="S34" s="299">
        <v>120000</v>
      </c>
      <c r="T34" s="299">
        <v>120000</v>
      </c>
      <c r="U34" s="299">
        <v>120000</v>
      </c>
      <c r="V34" s="299">
        <v>120000</v>
      </c>
      <c r="W34" s="299">
        <v>350000</v>
      </c>
      <c r="X34" s="299">
        <v>120000</v>
      </c>
      <c r="Y34" s="299">
        <v>120000</v>
      </c>
      <c r="Z34" s="299">
        <v>120000</v>
      </c>
      <c r="AA34" s="299">
        <v>120000</v>
      </c>
      <c r="AB34" s="299">
        <v>120000</v>
      </c>
      <c r="AC34" s="299">
        <v>120000</v>
      </c>
      <c r="AD34" s="268"/>
    </row>
    <row r="35" spans="1:30" x14ac:dyDescent="0.25">
      <c r="A35" s="300" t="s">
        <v>292</v>
      </c>
      <c r="L35" s="440"/>
      <c r="N35" s="278">
        <f t="shared" ref="N35:X35" si="17">+N$21/N34</f>
        <v>3.7725000000000002E-2</v>
      </c>
      <c r="O35" s="278">
        <f t="shared" si="17"/>
        <v>4.1075E-2</v>
      </c>
      <c r="P35" s="278">
        <f t="shared" si="17"/>
        <v>4.1091666666666665E-2</v>
      </c>
      <c r="Q35" s="278">
        <f t="shared" si="17"/>
        <v>4.3266666666666669E-2</v>
      </c>
      <c r="R35" s="278">
        <f t="shared" si="17"/>
        <v>4.4041666666666666E-2</v>
      </c>
      <c r="S35" s="278">
        <f t="shared" si="17"/>
        <v>4.4816666666666664E-2</v>
      </c>
      <c r="T35" s="278">
        <f t="shared" si="17"/>
        <v>4.5591666666666669E-2</v>
      </c>
      <c r="U35" s="278">
        <f t="shared" si="17"/>
        <v>4.5591666666666669E-2</v>
      </c>
      <c r="V35" s="278">
        <f t="shared" si="17"/>
        <v>4.5591666666666669E-2</v>
      </c>
      <c r="W35" s="278">
        <f t="shared" si="17"/>
        <v>1.6768571428571428E-2</v>
      </c>
      <c r="X35" s="278">
        <f t="shared" si="17"/>
        <v>5.0866666666666664E-2</v>
      </c>
      <c r="Y35" s="278">
        <f>+Y$21/Y34</f>
        <v>5.2549999999999999E-2</v>
      </c>
      <c r="Z35" s="278">
        <f>+Z$21/Z34</f>
        <v>5.2716666666666669E-2</v>
      </c>
      <c r="AA35" s="278">
        <f>+AA$21/AA34</f>
        <v>5.8491666666666664E-2</v>
      </c>
      <c r="AB35" s="278">
        <f>+AB$21/AB34</f>
        <v>6.1641666666666664E-2</v>
      </c>
      <c r="AC35" s="278">
        <f>+AC$21/AC34</f>
        <v>6.2975000000000003E-2</v>
      </c>
    </row>
    <row r="36" spans="1:30" x14ac:dyDescent="0.25">
      <c r="A36" s="301" t="s">
        <v>296</v>
      </c>
      <c r="L36" s="440"/>
      <c r="N36" s="278">
        <f>+N9</f>
        <v>0.1186</v>
      </c>
      <c r="O36" s="278">
        <f t="shared" ref="O36:X36" si="18">+O9</f>
        <v>0.1226</v>
      </c>
      <c r="P36" s="278">
        <f t="shared" si="18"/>
        <v>0.1236</v>
      </c>
      <c r="Q36" s="278">
        <f t="shared" si="18"/>
        <v>0.1258</v>
      </c>
      <c r="R36" s="278">
        <f t="shared" si="18"/>
        <v>0.1268</v>
      </c>
      <c r="S36" s="278">
        <f t="shared" si="18"/>
        <v>0.12740000000000001</v>
      </c>
      <c r="T36" s="278">
        <f t="shared" si="18"/>
        <v>0.1285</v>
      </c>
      <c r="U36" s="278">
        <f t="shared" si="18"/>
        <v>0.12820000000000001</v>
      </c>
      <c r="V36" s="278">
        <f t="shared" si="18"/>
        <v>0.13239999999999999</v>
      </c>
      <c r="W36" s="278">
        <f t="shared" si="18"/>
        <v>0.1303</v>
      </c>
      <c r="X36" s="278">
        <f t="shared" si="18"/>
        <v>0.13250000000000001</v>
      </c>
      <c r="Y36" s="278">
        <f t="shared" ref="Y36" si="19">+Y9</f>
        <v>0.1341</v>
      </c>
      <c r="Z36" s="278">
        <f>+Z9</f>
        <v>0.1361</v>
      </c>
      <c r="AA36" s="278">
        <f>+AA9</f>
        <v>0.13220000000000001</v>
      </c>
      <c r="AB36" s="278">
        <f>+AB9</f>
        <v>0.13830000000000001</v>
      </c>
      <c r="AC36" s="278">
        <f>+AC9</f>
        <v>0.1409</v>
      </c>
    </row>
    <row r="37" spans="1:30" x14ac:dyDescent="0.25">
      <c r="A37" s="302" t="s">
        <v>4</v>
      </c>
      <c r="L37" s="440"/>
      <c r="N37" s="278">
        <v>7.6499999999999999E-2</v>
      </c>
      <c r="O37" s="278">
        <v>7.6499999999999999E-2</v>
      </c>
      <c r="P37" s="278">
        <v>7.6499999999999999E-2</v>
      </c>
      <c r="Q37" s="278">
        <v>7.6499999999999999E-2</v>
      </c>
      <c r="R37" s="278">
        <v>7.6499999999999999E-2</v>
      </c>
      <c r="S37" s="278">
        <v>7.6499999999999999E-2</v>
      </c>
      <c r="T37" s="278">
        <v>7.6499999999999999E-2</v>
      </c>
      <c r="U37" s="278">
        <v>7.6499999999999999E-2</v>
      </c>
      <c r="V37" s="278">
        <v>7.6499999999999999E-2</v>
      </c>
      <c r="W37" s="278">
        <v>7.6499999999999999E-2</v>
      </c>
      <c r="X37" s="278">
        <v>7.6499999999999999E-2</v>
      </c>
      <c r="Y37" s="278">
        <v>7.6499999999999999E-2</v>
      </c>
      <c r="Z37" s="278">
        <v>7.6499999999999999E-2</v>
      </c>
      <c r="AA37" s="278">
        <v>7.6499999999999999E-2</v>
      </c>
      <c r="AB37" s="278">
        <v>7.6499999999999999E-2</v>
      </c>
      <c r="AC37" s="278">
        <v>7.6499999999999999E-2</v>
      </c>
    </row>
    <row r="38" spans="1:30" ht="13.8" thickBot="1" x14ac:dyDescent="0.3">
      <c r="A38" s="303" t="s">
        <v>295</v>
      </c>
      <c r="L38" s="440"/>
      <c r="N38" s="304">
        <f t="shared" ref="N38:Y38" si="20">SUM(N35:N37)</f>
        <v>0.232825</v>
      </c>
      <c r="O38" s="304">
        <f t="shared" si="20"/>
        <v>0.24017500000000003</v>
      </c>
      <c r="P38" s="304">
        <f t="shared" si="20"/>
        <v>0.24119166666666669</v>
      </c>
      <c r="Q38" s="304">
        <f t="shared" si="20"/>
        <v>0.24556666666666666</v>
      </c>
      <c r="R38" s="304">
        <f t="shared" si="20"/>
        <v>0.24734166666666668</v>
      </c>
      <c r="S38" s="304">
        <f t="shared" si="20"/>
        <v>0.2487166666666667</v>
      </c>
      <c r="T38" s="304">
        <f t="shared" si="20"/>
        <v>0.25059166666666666</v>
      </c>
      <c r="U38" s="304">
        <f t="shared" si="20"/>
        <v>0.25029166666666669</v>
      </c>
      <c r="V38" s="304">
        <f t="shared" si="20"/>
        <v>0.25449166666666667</v>
      </c>
      <c r="W38" s="304">
        <f t="shared" si="20"/>
        <v>0.22356857142857145</v>
      </c>
      <c r="X38" s="304">
        <f t="shared" si="20"/>
        <v>0.25986666666666669</v>
      </c>
      <c r="Y38" s="304">
        <f t="shared" si="20"/>
        <v>0.26315</v>
      </c>
      <c r="Z38" s="304">
        <f t="shared" ref="Z38:AB38" si="21">SUM(Z35:Z37)</f>
        <v>0.26531666666666665</v>
      </c>
      <c r="AA38" s="304">
        <f t="shared" si="21"/>
        <v>0.26719166666666666</v>
      </c>
      <c r="AB38" s="304">
        <f t="shared" si="21"/>
        <v>0.2764416666666667</v>
      </c>
      <c r="AC38" s="304">
        <f t="shared" ref="AC38" si="22">SUM(AC35:AC37)</f>
        <v>0.28037499999999999</v>
      </c>
    </row>
    <row r="39" spans="1:30" x14ac:dyDescent="0.25">
      <c r="L39" s="440"/>
    </row>
    <row r="40" spans="1:30" x14ac:dyDescent="0.25">
      <c r="L40" s="305" t="s">
        <v>297</v>
      </c>
      <c r="N40" s="305" t="s">
        <v>297</v>
      </c>
      <c r="P40" s="305" t="s">
        <v>297</v>
      </c>
      <c r="R40" s="305" t="s">
        <v>297</v>
      </c>
      <c r="T40" s="305" t="s">
        <v>297</v>
      </c>
    </row>
  </sheetData>
  <mergeCells count="14">
    <mergeCell ref="L29:L39"/>
    <mergeCell ref="H6:I6"/>
    <mergeCell ref="J6:K6"/>
    <mergeCell ref="L6:M6"/>
    <mergeCell ref="N6:O6"/>
    <mergeCell ref="A1:AC1"/>
    <mergeCell ref="P6:Q6"/>
    <mergeCell ref="R6:S6"/>
    <mergeCell ref="T6:V6"/>
    <mergeCell ref="D25:D28"/>
    <mergeCell ref="F25:F28"/>
    <mergeCell ref="H25:H28"/>
    <mergeCell ref="J25:J28"/>
    <mergeCell ref="L25:L28"/>
  </mergeCells>
  <hyperlinks>
    <hyperlink ref="L40" r:id="rId1" xr:uid="{00000000-0004-0000-0D00-000000000000}"/>
    <hyperlink ref="N40" r:id="rId2" xr:uid="{00000000-0004-0000-0D00-000001000000}"/>
    <hyperlink ref="P40" r:id="rId3" xr:uid="{00000000-0004-0000-0D00-000002000000}"/>
    <hyperlink ref="R40" r:id="rId4" xr:uid="{00000000-0004-0000-0D00-000003000000}"/>
    <hyperlink ref="T40" r:id="rId5" xr:uid="{00000000-0004-0000-0D00-000004000000}"/>
  </hyperlinks>
  <printOptions horizontalCentered="1"/>
  <pageMargins left="0.25" right="0.25" top="0.65" bottom="0.6" header="0.5" footer="0.28000000000000003"/>
  <pageSetup orientation="landscape" r:id="rId6"/>
  <headerFooter alignWithMargins="0">
    <oddHeader>&amp;Rcc: Sponsored Programs, Frank Fleming, Jim Hoppa,  Terrie Houck, Jim Mallinson, Karen Farley</oddHeader>
    <oddFooter>&amp;R&amp;D&amp;L&amp;"Arial"&amp;8J:\POSCTL\HISTORY\Benefit rates.xls\Summary</oddFooter>
  </headerFooter>
  <drawing r:id="rId7"/>
  <legacyDrawing r:id="rId8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E71BF-9102-4CAA-8654-BDEE50158190}">
  <dimension ref="A1:N39"/>
  <sheetViews>
    <sheetView topLeftCell="C1" workbookViewId="0">
      <selection activeCell="G6" sqref="G6"/>
    </sheetView>
  </sheetViews>
  <sheetFormatPr defaultColWidth="8.88671875" defaultRowHeight="10.199999999999999" x14ac:dyDescent="0.2"/>
  <cols>
    <col min="1" max="1" width="10.109375" style="383" customWidth="1"/>
    <col min="2" max="2" width="7.88671875" style="383" customWidth="1"/>
    <col min="3" max="3" width="32" style="384" customWidth="1"/>
    <col min="4" max="4" width="8.5546875" style="384" customWidth="1"/>
    <col min="5" max="5" width="6.109375" style="384" bestFit="1" customWidth="1"/>
    <col min="6" max="8" width="8.5546875" style="383" customWidth="1"/>
    <col min="9" max="10" width="8.5546875" style="384" customWidth="1"/>
    <col min="11" max="11" width="2.5546875" style="384" customWidth="1"/>
    <col min="12" max="12" width="18.88671875" style="384" customWidth="1"/>
    <col min="13" max="14" width="8.5546875" style="384" customWidth="1"/>
    <col min="15" max="16384" width="8.88671875" style="384"/>
  </cols>
  <sheetData>
    <row r="1" spans="1:14" ht="43.65" customHeight="1" x14ac:dyDescent="0.25">
      <c r="A1" s="223" t="s">
        <v>307</v>
      </c>
      <c r="F1" s="425" t="s">
        <v>178</v>
      </c>
      <c r="G1" s="425"/>
      <c r="H1" s="425"/>
      <c r="I1" s="425"/>
      <c r="J1" s="223"/>
      <c r="K1" s="223"/>
      <c r="L1" s="312" t="s">
        <v>200</v>
      </c>
      <c r="M1" s="427" t="s">
        <v>302</v>
      </c>
      <c r="N1" s="427"/>
    </row>
    <row r="2" spans="1:14" s="385" customFormat="1" ht="68.400000000000006" customHeight="1" x14ac:dyDescent="0.2">
      <c r="A2" s="308" t="s">
        <v>136</v>
      </c>
      <c r="B2" s="308" t="s">
        <v>299</v>
      </c>
      <c r="C2" s="385" t="s">
        <v>137</v>
      </c>
      <c r="D2" s="385" t="s">
        <v>159</v>
      </c>
      <c r="E2" s="308" t="s">
        <v>138</v>
      </c>
      <c r="F2" s="266" t="s">
        <v>146</v>
      </c>
      <c r="G2" s="266" t="s">
        <v>147</v>
      </c>
      <c r="H2" s="266" t="s">
        <v>148</v>
      </c>
      <c r="I2" s="265" t="s">
        <v>341</v>
      </c>
      <c r="J2" s="306" t="s">
        <v>298</v>
      </c>
      <c r="K2" s="308"/>
      <c r="L2" s="307" t="s">
        <v>298</v>
      </c>
      <c r="M2" s="311" t="s">
        <v>300</v>
      </c>
      <c r="N2" s="311" t="s">
        <v>301</v>
      </c>
    </row>
    <row r="3" spans="1:14" x14ac:dyDescent="0.2">
      <c r="A3" s="309">
        <v>10</v>
      </c>
      <c r="B3" s="309" t="s">
        <v>300</v>
      </c>
      <c r="C3" s="320" t="s">
        <v>228</v>
      </c>
      <c r="D3" s="309" t="s">
        <v>155</v>
      </c>
      <c r="E3" s="320">
        <v>912100</v>
      </c>
      <c r="F3" s="382">
        <v>7.6499999999999999E-2</v>
      </c>
      <c r="G3" s="382">
        <v>0.245</v>
      </c>
      <c r="H3" s="386"/>
      <c r="I3" s="387">
        <v>7397</v>
      </c>
      <c r="J3" s="388" t="s">
        <v>197</v>
      </c>
      <c r="K3" s="389"/>
      <c r="L3" s="390" t="s">
        <v>197</v>
      </c>
      <c r="M3" s="313" t="s">
        <v>303</v>
      </c>
      <c r="N3" s="314" t="s">
        <v>303</v>
      </c>
    </row>
    <row r="4" spans="1:14" x14ac:dyDescent="0.2">
      <c r="A4" s="310">
        <v>10</v>
      </c>
      <c r="B4" s="309" t="s">
        <v>300</v>
      </c>
      <c r="C4" s="262" t="s">
        <v>229</v>
      </c>
      <c r="D4" s="309" t="s">
        <v>156</v>
      </c>
      <c r="E4" s="320">
        <v>912100</v>
      </c>
      <c r="F4" s="391">
        <v>7.6499999999999999E-2</v>
      </c>
      <c r="G4" s="392"/>
      <c r="H4" s="393"/>
      <c r="I4" s="394"/>
      <c r="J4" s="342" t="s">
        <v>197</v>
      </c>
      <c r="K4" s="389"/>
      <c r="L4" s="264" t="s">
        <v>197</v>
      </c>
      <c r="M4" s="315" t="s">
        <v>303</v>
      </c>
      <c r="N4" s="316" t="s">
        <v>303</v>
      </c>
    </row>
    <row r="5" spans="1:14" x14ac:dyDescent="0.2">
      <c r="A5" s="309">
        <v>10</v>
      </c>
      <c r="B5" s="309" t="s">
        <v>300</v>
      </c>
      <c r="C5" s="320" t="s">
        <v>309</v>
      </c>
      <c r="D5" s="309" t="s">
        <v>155</v>
      </c>
      <c r="E5" s="320">
        <v>912090</v>
      </c>
      <c r="F5" s="391">
        <v>7.6499999999999999E-2</v>
      </c>
      <c r="G5" s="382">
        <v>0.29499999999999998</v>
      </c>
      <c r="H5" s="393"/>
      <c r="I5" s="394"/>
      <c r="J5" s="342"/>
      <c r="K5" s="389"/>
      <c r="L5" s="264"/>
      <c r="M5" s="315"/>
      <c r="N5" s="316"/>
    </row>
    <row r="6" spans="1:14" x14ac:dyDescent="0.2">
      <c r="A6" s="310">
        <v>15</v>
      </c>
      <c r="B6" s="310" t="s">
        <v>301</v>
      </c>
      <c r="C6" s="262" t="s">
        <v>230</v>
      </c>
      <c r="D6" s="395"/>
      <c r="E6" s="262">
        <v>915900</v>
      </c>
      <c r="F6" s="391">
        <v>7.6499999999999999E-2</v>
      </c>
      <c r="G6" s="392"/>
      <c r="H6" s="393"/>
      <c r="I6" s="394"/>
      <c r="J6" s="396" t="s">
        <v>199</v>
      </c>
      <c r="K6" s="389"/>
      <c r="L6" s="264" t="s">
        <v>197</v>
      </c>
      <c r="M6" s="315" t="s">
        <v>303</v>
      </c>
      <c r="N6" s="316" t="s">
        <v>303</v>
      </c>
    </row>
    <row r="7" spans="1:14" x14ac:dyDescent="0.2">
      <c r="A7" s="310">
        <v>18</v>
      </c>
      <c r="B7" s="310" t="s">
        <v>301</v>
      </c>
      <c r="C7" s="262" t="s">
        <v>231</v>
      </c>
      <c r="D7" s="395"/>
      <c r="E7" s="262">
        <v>915900</v>
      </c>
      <c r="F7" s="391">
        <v>7.6499999999999999E-2</v>
      </c>
      <c r="G7" s="392"/>
      <c r="H7" s="393"/>
      <c r="I7" s="394"/>
      <c r="J7" s="396" t="s">
        <v>199</v>
      </c>
      <c r="K7" s="389"/>
      <c r="L7" s="264" t="s">
        <v>197</v>
      </c>
      <c r="M7" s="315" t="s">
        <v>303</v>
      </c>
      <c r="N7" s="316" t="s">
        <v>303</v>
      </c>
    </row>
    <row r="8" spans="1:14" x14ac:dyDescent="0.2">
      <c r="A8" s="310">
        <v>19</v>
      </c>
      <c r="B8" s="310" t="s">
        <v>301</v>
      </c>
      <c r="C8" s="262" t="s">
        <v>232</v>
      </c>
      <c r="D8" s="395"/>
      <c r="E8" s="262">
        <v>915900</v>
      </c>
      <c r="F8" s="391">
        <v>7.6499999999999999E-2</v>
      </c>
      <c r="G8" s="392"/>
      <c r="H8" s="393"/>
      <c r="I8" s="394"/>
      <c r="J8" s="396" t="s">
        <v>199</v>
      </c>
      <c r="K8" s="389"/>
      <c r="L8" s="264" t="s">
        <v>197</v>
      </c>
      <c r="M8" s="315" t="s">
        <v>303</v>
      </c>
      <c r="N8" s="316" t="s">
        <v>303</v>
      </c>
    </row>
    <row r="9" spans="1:14" x14ac:dyDescent="0.2">
      <c r="A9" s="310">
        <v>20</v>
      </c>
      <c r="B9" s="309" t="s">
        <v>300</v>
      </c>
      <c r="C9" s="262" t="s">
        <v>233</v>
      </c>
      <c r="D9" s="309" t="s">
        <v>155</v>
      </c>
      <c r="E9" s="262">
        <v>911100</v>
      </c>
      <c r="F9" s="391">
        <v>7.6499999999999999E-2</v>
      </c>
      <c r="G9" s="392"/>
      <c r="H9" s="391">
        <v>0.13830000000000001</v>
      </c>
      <c r="I9" s="387">
        <v>7397</v>
      </c>
      <c r="J9" s="342" t="s">
        <v>197</v>
      </c>
      <c r="K9" s="389"/>
      <c r="L9" s="264" t="s">
        <v>197</v>
      </c>
      <c r="M9" s="315" t="s">
        <v>303</v>
      </c>
      <c r="N9" s="316" t="s">
        <v>303</v>
      </c>
    </row>
    <row r="10" spans="1:14" x14ac:dyDescent="0.2">
      <c r="A10" s="310">
        <v>20</v>
      </c>
      <c r="B10" s="309" t="s">
        <v>300</v>
      </c>
      <c r="C10" s="262" t="s">
        <v>234</v>
      </c>
      <c r="D10" s="309" t="s">
        <v>156</v>
      </c>
      <c r="E10" s="262">
        <v>911100</v>
      </c>
      <c r="F10" s="391">
        <v>7.6499999999999999E-2</v>
      </c>
      <c r="G10" s="392"/>
      <c r="H10" s="392"/>
      <c r="I10" s="394"/>
      <c r="J10" s="342" t="s">
        <v>197</v>
      </c>
      <c r="K10" s="389"/>
      <c r="L10" s="264" t="s">
        <v>197</v>
      </c>
      <c r="M10" s="315" t="s">
        <v>303</v>
      </c>
      <c r="N10" s="316" t="s">
        <v>303</v>
      </c>
    </row>
    <row r="11" spans="1:14" x14ac:dyDescent="0.2">
      <c r="A11" s="310">
        <v>30</v>
      </c>
      <c r="B11" s="309" t="s">
        <v>300</v>
      </c>
      <c r="C11" s="262" t="s">
        <v>235</v>
      </c>
      <c r="D11" s="310">
        <v>1</v>
      </c>
      <c r="E11" s="262">
        <v>913100</v>
      </c>
      <c r="F11" s="391">
        <v>7.6499999999999999E-2</v>
      </c>
      <c r="G11" s="392"/>
      <c r="H11" s="391">
        <v>0.13830000000000001</v>
      </c>
      <c r="I11" s="387">
        <v>7397</v>
      </c>
      <c r="J11" s="342" t="s">
        <v>197</v>
      </c>
      <c r="K11" s="389"/>
      <c r="L11" s="264" t="s">
        <v>197</v>
      </c>
      <c r="M11" s="315" t="s">
        <v>303</v>
      </c>
      <c r="N11" s="316" t="s">
        <v>303</v>
      </c>
    </row>
    <row r="12" spans="1:14" x14ac:dyDescent="0.2">
      <c r="A12" s="310">
        <v>32</v>
      </c>
      <c r="B12" s="309" t="s">
        <v>300</v>
      </c>
      <c r="C12" s="262" t="s">
        <v>236</v>
      </c>
      <c r="D12" s="310">
        <v>1</v>
      </c>
      <c r="E12" s="262">
        <v>913100</v>
      </c>
      <c r="F12" s="391">
        <v>7.6499999999999999E-2</v>
      </c>
      <c r="G12" s="393"/>
      <c r="H12" s="391">
        <v>0.13830000000000001</v>
      </c>
      <c r="I12" s="387">
        <v>7397</v>
      </c>
      <c r="J12" s="342" t="s">
        <v>197</v>
      </c>
      <c r="K12" s="389"/>
      <c r="L12" s="264" t="s">
        <v>197</v>
      </c>
      <c r="M12" s="315" t="s">
        <v>303</v>
      </c>
      <c r="N12" s="316" t="s">
        <v>303</v>
      </c>
    </row>
    <row r="13" spans="1:14" x14ac:dyDescent="0.2">
      <c r="A13" s="310">
        <v>36</v>
      </c>
      <c r="B13" s="309" t="s">
        <v>300</v>
      </c>
      <c r="C13" s="262" t="s">
        <v>237</v>
      </c>
      <c r="D13" s="310">
        <v>1</v>
      </c>
      <c r="E13" s="262">
        <v>913100</v>
      </c>
      <c r="F13" s="391">
        <v>7.6499999999999999E-2</v>
      </c>
      <c r="G13" s="393"/>
      <c r="H13" s="391">
        <v>0.13830000000000001</v>
      </c>
      <c r="I13" s="387">
        <v>7397</v>
      </c>
      <c r="J13" s="342" t="s">
        <v>197</v>
      </c>
      <c r="K13" s="389"/>
      <c r="L13" s="264" t="s">
        <v>197</v>
      </c>
      <c r="M13" s="315" t="s">
        <v>303</v>
      </c>
      <c r="N13" s="316" t="s">
        <v>303</v>
      </c>
    </row>
    <row r="14" spans="1:14" x14ac:dyDescent="0.2">
      <c r="A14" s="310">
        <v>40</v>
      </c>
      <c r="B14" s="310" t="s">
        <v>301</v>
      </c>
      <c r="C14" s="262" t="s">
        <v>238</v>
      </c>
      <c r="D14" s="397"/>
      <c r="E14" s="262">
        <v>911200</v>
      </c>
      <c r="F14" s="391">
        <v>7.6499999999999999E-2</v>
      </c>
      <c r="G14" s="392"/>
      <c r="H14" s="231"/>
      <c r="I14" s="394" t="s">
        <v>217</v>
      </c>
      <c r="J14" s="396" t="s">
        <v>199</v>
      </c>
      <c r="K14" s="389"/>
      <c r="L14" s="264" t="s">
        <v>197</v>
      </c>
      <c r="M14" s="315"/>
      <c r="N14" s="316" t="s">
        <v>303</v>
      </c>
    </row>
    <row r="15" spans="1:14" x14ac:dyDescent="0.2">
      <c r="A15" s="310">
        <v>50</v>
      </c>
      <c r="B15" s="310" t="s">
        <v>301</v>
      </c>
      <c r="C15" s="262" t="s">
        <v>239</v>
      </c>
      <c r="D15" s="397"/>
      <c r="E15" s="262">
        <v>911200</v>
      </c>
      <c r="F15" s="391">
        <v>7.6499999999999999E-2</v>
      </c>
      <c r="G15" s="398"/>
      <c r="H15" s="231"/>
      <c r="I15" s="399"/>
      <c r="J15" s="396" t="s">
        <v>199</v>
      </c>
      <c r="K15" s="389"/>
      <c r="L15" s="264" t="s">
        <v>197</v>
      </c>
      <c r="M15" s="315"/>
      <c r="N15" s="316" t="s">
        <v>303</v>
      </c>
    </row>
    <row r="16" spans="1:14" x14ac:dyDescent="0.2">
      <c r="A16" s="310">
        <v>45</v>
      </c>
      <c r="B16" s="310" t="s">
        <v>301</v>
      </c>
      <c r="C16" s="262" t="s">
        <v>240</v>
      </c>
      <c r="D16" s="397"/>
      <c r="E16" s="262">
        <v>911300</v>
      </c>
      <c r="F16" s="391">
        <v>7.6499999999999999E-2</v>
      </c>
      <c r="G16" s="398"/>
      <c r="H16" s="231"/>
      <c r="I16" s="399"/>
      <c r="J16" s="396" t="s">
        <v>199</v>
      </c>
      <c r="K16" s="389"/>
      <c r="L16" s="264" t="s">
        <v>197</v>
      </c>
      <c r="M16" s="315"/>
      <c r="N16" s="316" t="s">
        <v>303</v>
      </c>
    </row>
    <row r="17" spans="1:14" x14ac:dyDescent="0.2">
      <c r="A17" s="310">
        <v>45</v>
      </c>
      <c r="B17" s="310" t="s">
        <v>301</v>
      </c>
      <c r="C17" s="262" t="s">
        <v>241</v>
      </c>
      <c r="D17" s="397"/>
      <c r="E17" s="262">
        <v>913300</v>
      </c>
      <c r="F17" s="391">
        <v>7.6499999999999999E-2</v>
      </c>
      <c r="G17" s="398"/>
      <c r="H17" s="231"/>
      <c r="I17" s="399"/>
      <c r="J17" s="396" t="s">
        <v>199</v>
      </c>
      <c r="K17" s="389"/>
      <c r="L17" s="264" t="s">
        <v>197</v>
      </c>
      <c r="M17" s="315"/>
      <c r="N17" s="316" t="s">
        <v>303</v>
      </c>
    </row>
    <row r="18" spans="1:14" x14ac:dyDescent="0.2">
      <c r="A18" s="310">
        <v>50</v>
      </c>
      <c r="B18" s="310" t="s">
        <v>301</v>
      </c>
      <c r="C18" s="262" t="s">
        <v>242</v>
      </c>
      <c r="D18" s="397"/>
      <c r="E18" s="262">
        <v>913200</v>
      </c>
      <c r="F18" s="391">
        <v>7.6499999999999999E-2</v>
      </c>
      <c r="G18" s="398"/>
      <c r="H18" s="231"/>
      <c r="I18" s="399"/>
      <c r="J18" s="396" t="s">
        <v>199</v>
      </c>
      <c r="K18" s="389"/>
      <c r="L18" s="264" t="s">
        <v>197</v>
      </c>
      <c r="M18" s="315"/>
      <c r="N18" s="316" t="s">
        <v>303</v>
      </c>
    </row>
    <row r="19" spans="1:14" x14ac:dyDescent="0.2">
      <c r="A19" s="310">
        <v>60</v>
      </c>
      <c r="B19" s="310" t="s">
        <v>301</v>
      </c>
      <c r="C19" s="262" t="s">
        <v>161</v>
      </c>
      <c r="D19" s="262" t="s">
        <v>160</v>
      </c>
      <c r="E19" s="262">
        <v>913250</v>
      </c>
      <c r="F19" s="391" t="s">
        <v>174</v>
      </c>
      <c r="G19" s="395"/>
      <c r="H19" s="393"/>
      <c r="I19" s="394"/>
      <c r="J19" s="396" t="s">
        <v>199</v>
      </c>
      <c r="K19" s="400"/>
      <c r="L19" s="392" t="s">
        <v>199</v>
      </c>
      <c r="M19" s="315"/>
      <c r="N19" s="316" t="s">
        <v>303</v>
      </c>
    </row>
    <row r="20" spans="1:14" x14ac:dyDescent="0.2">
      <c r="A20" s="310">
        <v>60</v>
      </c>
      <c r="B20" s="310" t="s">
        <v>301</v>
      </c>
      <c r="C20" s="262" t="s">
        <v>162</v>
      </c>
      <c r="D20" s="262" t="s">
        <v>160</v>
      </c>
      <c r="E20" s="262">
        <v>911250</v>
      </c>
      <c r="F20" s="391" t="s">
        <v>174</v>
      </c>
      <c r="G20" s="395"/>
      <c r="H20" s="393"/>
      <c r="I20" s="394"/>
      <c r="J20" s="396" t="s">
        <v>199</v>
      </c>
      <c r="K20" s="400"/>
      <c r="L20" s="392" t="s">
        <v>199</v>
      </c>
      <c r="M20" s="315"/>
      <c r="N20" s="316" t="s">
        <v>303</v>
      </c>
    </row>
    <row r="21" spans="1:14" x14ac:dyDescent="0.2">
      <c r="A21" s="310">
        <v>60</v>
      </c>
      <c r="B21" s="310" t="s">
        <v>301</v>
      </c>
      <c r="C21" s="262" t="s">
        <v>163</v>
      </c>
      <c r="D21" s="262" t="s">
        <v>160</v>
      </c>
      <c r="E21" s="262">
        <v>911260</v>
      </c>
      <c r="F21" s="391" t="s">
        <v>174</v>
      </c>
      <c r="G21" s="395"/>
      <c r="H21" s="393"/>
      <c r="I21" s="394"/>
      <c r="J21" s="396" t="s">
        <v>199</v>
      </c>
      <c r="K21" s="400"/>
      <c r="L21" s="392" t="s">
        <v>199</v>
      </c>
      <c r="M21" s="315"/>
      <c r="N21" s="316" t="s">
        <v>303</v>
      </c>
    </row>
    <row r="22" spans="1:14" x14ac:dyDescent="0.2">
      <c r="A22" s="310">
        <v>70</v>
      </c>
      <c r="B22" s="310" t="s">
        <v>301</v>
      </c>
      <c r="C22" s="262" t="s">
        <v>164</v>
      </c>
      <c r="D22" s="262" t="s">
        <v>165</v>
      </c>
      <c r="E22" s="262">
        <v>915020</v>
      </c>
      <c r="F22" s="264" t="s">
        <v>174</v>
      </c>
      <c r="G22" s="393"/>
      <c r="H22" s="393"/>
      <c r="I22" s="401"/>
      <c r="J22" s="396" t="s">
        <v>199</v>
      </c>
      <c r="K22" s="383"/>
      <c r="L22" s="392" t="s">
        <v>199</v>
      </c>
      <c r="M22" s="315" t="s">
        <v>303</v>
      </c>
      <c r="N22" s="316" t="s">
        <v>303</v>
      </c>
    </row>
    <row r="23" spans="1:14" x14ac:dyDescent="0.2">
      <c r="A23" s="310">
        <v>72</v>
      </c>
      <c r="B23" s="310" t="s">
        <v>301</v>
      </c>
      <c r="C23" s="262" t="s">
        <v>150</v>
      </c>
      <c r="D23" s="262" t="s">
        <v>165</v>
      </c>
      <c r="E23" s="262">
        <v>915020</v>
      </c>
      <c r="F23" s="264" t="s">
        <v>174</v>
      </c>
      <c r="G23" s="393"/>
      <c r="H23" s="393"/>
      <c r="I23" s="401"/>
      <c r="J23" s="396" t="s">
        <v>199</v>
      </c>
      <c r="K23" s="383"/>
      <c r="L23" s="392" t="s">
        <v>199</v>
      </c>
      <c r="M23" s="315" t="s">
        <v>303</v>
      </c>
      <c r="N23" s="316" t="s">
        <v>303</v>
      </c>
    </row>
    <row r="24" spans="1:14" x14ac:dyDescent="0.2">
      <c r="A24" s="310">
        <v>75</v>
      </c>
      <c r="B24" s="310" t="s">
        <v>301</v>
      </c>
      <c r="C24" s="262" t="s">
        <v>248</v>
      </c>
      <c r="D24" s="262" t="s">
        <v>165</v>
      </c>
      <c r="E24" s="262">
        <v>915030</v>
      </c>
      <c r="F24" s="264" t="s">
        <v>174</v>
      </c>
      <c r="G24" s="393"/>
      <c r="H24" s="393"/>
      <c r="I24" s="401"/>
      <c r="J24" s="396" t="s">
        <v>199</v>
      </c>
      <c r="K24" s="383"/>
      <c r="L24" s="392" t="s">
        <v>199</v>
      </c>
      <c r="M24" s="315" t="s">
        <v>303</v>
      </c>
      <c r="N24" s="316" t="s">
        <v>303</v>
      </c>
    </row>
    <row r="25" spans="1:14" x14ac:dyDescent="0.2">
      <c r="A25" s="310" t="s">
        <v>172</v>
      </c>
      <c r="B25" s="310" t="s">
        <v>301</v>
      </c>
      <c r="C25" s="262" t="s">
        <v>173</v>
      </c>
      <c r="D25" s="262" t="s">
        <v>170</v>
      </c>
      <c r="E25" s="402" t="s">
        <v>171</v>
      </c>
      <c r="F25" s="403" t="s">
        <v>174</v>
      </c>
      <c r="G25" s="404"/>
      <c r="H25" s="404"/>
      <c r="I25" s="405"/>
      <c r="J25" s="396" t="s">
        <v>199</v>
      </c>
      <c r="K25" s="383"/>
      <c r="L25" s="392" t="s">
        <v>199</v>
      </c>
      <c r="M25" s="318" t="s">
        <v>303</v>
      </c>
      <c r="N25" s="319" t="s">
        <v>303</v>
      </c>
    </row>
    <row r="26" spans="1:14" x14ac:dyDescent="0.2">
      <c r="I26" s="383"/>
      <c r="J26" s="383"/>
      <c r="K26" s="383"/>
    </row>
    <row r="27" spans="1:14" x14ac:dyDescent="0.2">
      <c r="A27" s="406" t="s">
        <v>167</v>
      </c>
      <c r="B27" s="406"/>
      <c r="C27" s="384" t="s">
        <v>243</v>
      </c>
      <c r="I27" s="383"/>
      <c r="J27" s="383"/>
      <c r="K27" s="383"/>
    </row>
    <row r="28" spans="1:14" x14ac:dyDescent="0.2">
      <c r="A28" s="406" t="s">
        <v>168</v>
      </c>
      <c r="B28" s="406"/>
      <c r="C28" s="384" t="s">
        <v>169</v>
      </c>
      <c r="I28" s="383"/>
      <c r="J28" s="383"/>
      <c r="K28" s="383"/>
    </row>
    <row r="31" spans="1:14" ht="13.2" x14ac:dyDescent="0.2">
      <c r="C31" s="258"/>
    </row>
    <row r="32" spans="1:14" ht="13.2" x14ac:dyDescent="0.25">
      <c r="C32"/>
    </row>
    <row r="33" spans="3:3" ht="13.2" x14ac:dyDescent="0.2">
      <c r="C33" s="258"/>
    </row>
    <row r="34" spans="3:3" ht="13.2" x14ac:dyDescent="0.25">
      <c r="C34"/>
    </row>
    <row r="35" spans="3:3" ht="13.2" x14ac:dyDescent="0.2">
      <c r="C35" s="258"/>
    </row>
    <row r="36" spans="3:3" ht="13.2" x14ac:dyDescent="0.25">
      <c r="C36"/>
    </row>
    <row r="37" spans="3:3" ht="13.2" x14ac:dyDescent="0.2">
      <c r="C37" s="258"/>
    </row>
    <row r="38" spans="3:3" ht="13.2" x14ac:dyDescent="0.25">
      <c r="C38"/>
    </row>
    <row r="39" spans="3:3" ht="13.2" x14ac:dyDescent="0.2">
      <c r="C39" s="258"/>
    </row>
  </sheetData>
  <mergeCells count="2">
    <mergeCell ref="F1:I1"/>
    <mergeCell ref="M1:N1"/>
  </mergeCells>
  <pageMargins left="0.7" right="0.7" top="0.75" bottom="0.75" header="0.3" footer="0.3"/>
  <pageSetup scale="85" orientation="landscape" r:id="rId1"/>
  <headerFooter>
    <oddFooter>&amp;L&amp;Z&amp;F&amp;RPage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52AFC-3ED5-4AE5-AC21-4D56C0517510}">
  <sheetPr>
    <tabColor theme="7" tint="0.39997558519241921"/>
  </sheetPr>
  <dimension ref="A1:L34"/>
  <sheetViews>
    <sheetView workbookViewId="0">
      <selection activeCell="G6" sqref="G6"/>
    </sheetView>
  </sheetViews>
  <sheetFormatPr defaultColWidth="9.109375" defaultRowHeight="11.4" x14ac:dyDescent="0.2"/>
  <cols>
    <col min="1" max="1" width="55.109375" style="32" customWidth="1"/>
    <col min="2" max="2" width="9.44140625" style="32" customWidth="1"/>
    <col min="3" max="3" width="9.88671875" style="32" customWidth="1"/>
    <col min="4" max="4" width="3.44140625" style="32" customWidth="1"/>
    <col min="5" max="5" width="1.5546875" style="32" customWidth="1"/>
    <col min="6" max="6" width="45.44140625" style="32" customWidth="1"/>
    <col min="7" max="7" width="9" style="32" customWidth="1"/>
    <col min="8" max="8" width="9.88671875" style="32" customWidth="1"/>
    <col min="9" max="9" width="3.109375" style="32" customWidth="1"/>
    <col min="10" max="16384" width="9.109375" style="32"/>
  </cols>
  <sheetData>
    <row r="1" spans="1:12" ht="17.399999999999999" x14ac:dyDescent="0.3">
      <c r="A1" s="78" t="s">
        <v>380</v>
      </c>
    </row>
    <row r="3" spans="1:12" ht="30" customHeight="1" x14ac:dyDescent="0.3">
      <c r="A3" s="332" t="s">
        <v>20</v>
      </c>
      <c r="F3" s="332" t="s">
        <v>21</v>
      </c>
    </row>
    <row r="4" spans="1:12" ht="12" x14ac:dyDescent="0.25">
      <c r="A4" s="34"/>
      <c r="B4" s="35" t="s">
        <v>220</v>
      </c>
      <c r="C4" s="36" t="s">
        <v>222</v>
      </c>
      <c r="F4" s="34"/>
      <c r="G4" s="35" t="s">
        <v>220</v>
      </c>
      <c r="H4" s="36" t="s">
        <v>222</v>
      </c>
    </row>
    <row r="5" spans="1:12" x14ac:dyDescent="0.2">
      <c r="A5" s="37" t="s">
        <v>72</v>
      </c>
      <c r="B5" s="38">
        <v>100000</v>
      </c>
      <c r="C5" s="39">
        <v>100000</v>
      </c>
      <c r="F5" s="37" t="s">
        <v>73</v>
      </c>
      <c r="G5" s="38">
        <v>50000</v>
      </c>
      <c r="H5" s="39">
        <v>50000</v>
      </c>
    </row>
    <row r="6" spans="1:12" x14ac:dyDescent="0.2">
      <c r="A6" s="37" t="s">
        <v>381</v>
      </c>
      <c r="B6" s="40">
        <f>-C22</f>
        <v>-7397</v>
      </c>
      <c r="C6" s="41">
        <f>-C22</f>
        <v>-7397</v>
      </c>
      <c r="F6" s="37" t="str">
        <f>A10</f>
        <v>FICA (Salary X .0765)</v>
      </c>
      <c r="G6" s="38">
        <f>G5*C18</f>
        <v>3825</v>
      </c>
      <c r="H6" s="39">
        <f>H5*C18</f>
        <v>3825</v>
      </c>
    </row>
    <row r="7" spans="1:12" x14ac:dyDescent="0.2">
      <c r="A7" s="37" t="s">
        <v>12</v>
      </c>
      <c r="B7" s="38">
        <f>SUM(B5:B6)</f>
        <v>92603</v>
      </c>
      <c r="C7" s="39">
        <f>SUM(C5:C6)</f>
        <v>92603</v>
      </c>
      <c r="F7" s="37" t="str">
        <f>A11</f>
        <v>Retirement (Salary x .2450 for SHRA or .1383 for EHRA)</v>
      </c>
      <c r="G7" s="38">
        <f>G5*C19</f>
        <v>12250</v>
      </c>
      <c r="H7" s="39">
        <f>H5*C20</f>
        <v>6915</v>
      </c>
    </row>
    <row r="8" spans="1:12" x14ac:dyDescent="0.2">
      <c r="A8" s="37"/>
      <c r="B8" s="38"/>
      <c r="C8" s="39"/>
      <c r="F8" s="37" t="s">
        <v>0</v>
      </c>
      <c r="G8" s="40">
        <f>C22</f>
        <v>7397</v>
      </c>
      <c r="H8" s="41">
        <f>C22</f>
        <v>7397</v>
      </c>
    </row>
    <row r="9" spans="1:12" x14ac:dyDescent="0.2">
      <c r="A9" s="37" t="s">
        <v>76</v>
      </c>
      <c r="B9" s="38">
        <f>B7/(1+C18+C19)</f>
        <v>70074.158153613331</v>
      </c>
      <c r="C9" s="39">
        <f>C7/(1+C18+C20)</f>
        <v>76229.008890352314</v>
      </c>
      <c r="F9" s="37"/>
      <c r="G9" s="38"/>
      <c r="H9" s="39"/>
    </row>
    <row r="10" spans="1:12" ht="12" x14ac:dyDescent="0.25">
      <c r="A10" s="37" t="s">
        <v>77</v>
      </c>
      <c r="B10" s="38">
        <f>B9*C18</f>
        <v>5360.6730987514193</v>
      </c>
      <c r="C10" s="39">
        <f>C9*C18</f>
        <v>5831.5191801119518</v>
      </c>
      <c r="F10" s="328" t="s">
        <v>90</v>
      </c>
      <c r="G10" s="329">
        <f>SUM(G5:G8)</f>
        <v>73472</v>
      </c>
      <c r="H10" s="330">
        <f>SUM(H5:H8)</f>
        <v>68137</v>
      </c>
    </row>
    <row r="11" spans="1:12" x14ac:dyDescent="0.2">
      <c r="A11" s="37" t="s">
        <v>382</v>
      </c>
      <c r="B11" s="38">
        <f>B9*C19</f>
        <v>17168.168747635267</v>
      </c>
      <c r="C11" s="39">
        <f>C9*C20</f>
        <v>10542.471929535726</v>
      </c>
      <c r="F11" s="37"/>
      <c r="H11" s="42"/>
    </row>
    <row r="12" spans="1:12" x14ac:dyDescent="0.2">
      <c r="A12" s="37" t="s">
        <v>0</v>
      </c>
      <c r="B12" s="40">
        <f>C22</f>
        <v>7397</v>
      </c>
      <c r="C12" s="41">
        <f>C22</f>
        <v>7397</v>
      </c>
      <c r="F12" s="37"/>
      <c r="H12" s="42"/>
    </row>
    <row r="13" spans="1:12" x14ac:dyDescent="0.2">
      <c r="A13" s="43" t="s">
        <v>13</v>
      </c>
      <c r="B13" s="44">
        <f>SUM(B9:B12)</f>
        <v>100000.00000000001</v>
      </c>
      <c r="C13" s="45">
        <f>SUM(C9:C12)</f>
        <v>99999.999999999985</v>
      </c>
      <c r="F13" s="43"/>
      <c r="G13" s="46"/>
      <c r="H13" s="47"/>
    </row>
    <row r="14" spans="1:12" x14ac:dyDescent="0.2">
      <c r="L14" s="260"/>
    </row>
    <row r="15" spans="1:12" ht="13.2" x14ac:dyDescent="0.25">
      <c r="A15" s="219" t="s">
        <v>383</v>
      </c>
      <c r="B15" s="166"/>
      <c r="C15" s="167"/>
      <c r="F15" s="106" t="s">
        <v>93</v>
      </c>
      <c r="G15"/>
      <c r="H15"/>
    </row>
    <row r="16" spans="1:12" ht="12" x14ac:dyDescent="0.25">
      <c r="A16" s="168"/>
      <c r="B16" s="169"/>
      <c r="C16" s="170"/>
      <c r="F16" s="34"/>
      <c r="G16" s="35" t="s">
        <v>220</v>
      </c>
      <c r="H16" s="36" t="s">
        <v>222</v>
      </c>
      <c r="L16" s="260"/>
    </row>
    <row r="17" spans="1:8" ht="12" x14ac:dyDescent="0.25">
      <c r="A17" s="171" t="s">
        <v>1</v>
      </c>
      <c r="B17" s="172" t="s">
        <v>2</v>
      </c>
      <c r="C17" s="173" t="s">
        <v>3</v>
      </c>
      <c r="F17" s="37" t="s">
        <v>73</v>
      </c>
      <c r="G17" s="38">
        <v>50000</v>
      </c>
      <c r="H17" s="107">
        <v>50000</v>
      </c>
    </row>
    <row r="18" spans="1:8" x14ac:dyDescent="0.2">
      <c r="A18" s="174" t="s">
        <v>4</v>
      </c>
      <c r="B18" s="175">
        <v>919150</v>
      </c>
      <c r="C18" s="176">
        <v>7.6499999999999999E-2</v>
      </c>
      <c r="F18" s="37" t="str">
        <f>A10</f>
        <v>FICA (Salary X .0765)</v>
      </c>
      <c r="G18" s="38">
        <f>G17*C18</f>
        <v>3825</v>
      </c>
      <c r="H18" s="107">
        <f>H17*C18</f>
        <v>3825</v>
      </c>
    </row>
    <row r="19" spans="1:8" x14ac:dyDescent="0.2">
      <c r="A19" s="174" t="s">
        <v>57</v>
      </c>
      <c r="B19" s="175">
        <v>919050</v>
      </c>
      <c r="C19" s="176">
        <v>0.245</v>
      </c>
      <c r="F19" s="37" t="s">
        <v>384</v>
      </c>
      <c r="G19" s="38">
        <f>G17*C21</f>
        <v>14750</v>
      </c>
      <c r="H19" s="107">
        <f>H17*C21</f>
        <v>14750</v>
      </c>
    </row>
    <row r="20" spans="1:8" x14ac:dyDescent="0.2">
      <c r="A20" s="174" t="s">
        <v>7</v>
      </c>
      <c r="B20" s="175">
        <v>918000</v>
      </c>
      <c r="C20" s="176">
        <v>0.13830000000000001</v>
      </c>
      <c r="F20" s="37" t="s">
        <v>0</v>
      </c>
      <c r="G20" s="40">
        <f>C22</f>
        <v>7397</v>
      </c>
      <c r="H20" s="100">
        <f>C22</f>
        <v>7397</v>
      </c>
    </row>
    <row r="21" spans="1:8" x14ac:dyDescent="0.2">
      <c r="A21" s="174" t="s">
        <v>86</v>
      </c>
      <c r="B21" s="175">
        <v>919100</v>
      </c>
      <c r="C21" s="176">
        <v>0.29499999999999998</v>
      </c>
      <c r="F21" s="37" t="s">
        <v>95</v>
      </c>
      <c r="G21" s="38">
        <f>SUM(G17:G20)</f>
        <v>75972</v>
      </c>
      <c r="H21" s="107">
        <f>SUM(H17:H20)</f>
        <v>75972</v>
      </c>
    </row>
    <row r="22" spans="1:8" x14ac:dyDescent="0.2">
      <c r="A22" s="88" t="s">
        <v>246</v>
      </c>
      <c r="B22" s="175">
        <v>917000</v>
      </c>
      <c r="C22" s="89">
        <v>7397</v>
      </c>
      <c r="D22" s="32" t="s">
        <v>22</v>
      </c>
      <c r="F22" s="37"/>
      <c r="G22" s="38"/>
      <c r="H22" s="42"/>
    </row>
    <row r="23" spans="1:8" x14ac:dyDescent="0.2">
      <c r="A23" s="174"/>
      <c r="B23" s="169"/>
      <c r="C23" s="170"/>
      <c r="F23" s="153"/>
      <c r="G23" s="154"/>
      <c r="H23" s="155"/>
    </row>
    <row r="24" spans="1:8" x14ac:dyDescent="0.2">
      <c r="A24" s="174" t="s">
        <v>221</v>
      </c>
      <c r="B24" s="178">
        <f>SUM(C18+C19)</f>
        <v>0.32150000000000001</v>
      </c>
      <c r="C24" s="170"/>
      <c r="F24" s="37" t="s">
        <v>72</v>
      </c>
      <c r="G24" s="38">
        <v>50000</v>
      </c>
      <c r="H24" s="39">
        <v>50000</v>
      </c>
    </row>
    <row r="25" spans="1:8" x14ac:dyDescent="0.2">
      <c r="A25" s="174" t="s">
        <v>223</v>
      </c>
      <c r="B25" s="178">
        <f>C18+C20</f>
        <v>0.21479999999999999</v>
      </c>
      <c r="C25" s="170"/>
      <c r="F25" s="37" t="s">
        <v>338</v>
      </c>
      <c r="G25" s="40">
        <f>-C22</f>
        <v>-7397</v>
      </c>
      <c r="H25" s="41">
        <f>-C22</f>
        <v>-7397</v>
      </c>
    </row>
    <row r="26" spans="1:8" x14ac:dyDescent="0.2">
      <c r="A26" s="179" t="s">
        <v>185</v>
      </c>
      <c r="B26" s="180">
        <f>SUM(C18+C21)</f>
        <v>0.3715</v>
      </c>
      <c r="C26" s="181"/>
      <c r="F26" s="37" t="s">
        <v>12</v>
      </c>
      <c r="G26" s="38">
        <f>SUM(G24:G25)</f>
        <v>42603</v>
      </c>
      <c r="H26" s="39">
        <f>SUM(H24:H25)</f>
        <v>42603</v>
      </c>
    </row>
    <row r="27" spans="1:8" x14ac:dyDescent="0.2">
      <c r="F27" s="37"/>
      <c r="G27" s="38"/>
      <c r="H27" s="42"/>
    </row>
    <row r="28" spans="1:8" x14ac:dyDescent="0.2">
      <c r="A28" s="32" t="s">
        <v>385</v>
      </c>
      <c r="F28" s="37" t="s">
        <v>76</v>
      </c>
      <c r="G28" s="38">
        <f>G26/(1+C18+C21)</f>
        <v>31063.069631790011</v>
      </c>
      <c r="H28" s="39">
        <f>H26/(1+C18+C21)</f>
        <v>31063.069631790011</v>
      </c>
    </row>
    <row r="29" spans="1:8" x14ac:dyDescent="0.2">
      <c r="F29" s="37" t="str">
        <f>A10</f>
        <v>FICA (Salary X .0765)</v>
      </c>
      <c r="G29" s="38">
        <f>G28*C18</f>
        <v>2376.3248268319358</v>
      </c>
      <c r="H29" s="39">
        <f>H28*C18</f>
        <v>2376.3248268319358</v>
      </c>
    </row>
    <row r="30" spans="1:8" x14ac:dyDescent="0.2">
      <c r="A30" s="32" t="s">
        <v>218</v>
      </c>
      <c r="F30" s="37" t="str">
        <f>F19</f>
        <v>LEO Retirement (Salary x .2950 for both EHRA &amp; SHRA)</v>
      </c>
      <c r="G30" s="38">
        <f>G28*C21</f>
        <v>9163.6055413780523</v>
      </c>
      <c r="H30" s="39">
        <f>H28*C21</f>
        <v>9163.6055413780523</v>
      </c>
    </row>
    <row r="31" spans="1:8" x14ac:dyDescent="0.2">
      <c r="F31" s="37" t="s">
        <v>0</v>
      </c>
      <c r="G31" s="40">
        <f>C22</f>
        <v>7397</v>
      </c>
      <c r="H31" s="218">
        <f>C22</f>
        <v>7397</v>
      </c>
    </row>
    <row r="32" spans="1:8" ht="26.4" x14ac:dyDescent="0.25">
      <c r="A32" s="259" t="s">
        <v>219</v>
      </c>
      <c r="F32" s="43" t="s">
        <v>13</v>
      </c>
      <c r="G32" s="44">
        <f>SUM(G28:G31)</f>
        <v>50000</v>
      </c>
      <c r="H32" s="45">
        <f>SUM(H28:H31)</f>
        <v>50000</v>
      </c>
    </row>
    <row r="33" spans="1:8" x14ac:dyDescent="0.2">
      <c r="H33" s="157"/>
    </row>
    <row r="34" spans="1:8" ht="13.2" x14ac:dyDescent="0.25">
      <c r="A34" s="324"/>
    </row>
  </sheetData>
  <hyperlinks>
    <hyperlink ref="A32" r:id="rId1" xr:uid="{4A5C10DB-1994-4E9D-9702-11BD71BF12F4}"/>
  </hyperlinks>
  <pageMargins left="0.75" right="0.75" top="1" bottom="1" header="0.5" footer="0.5"/>
  <pageSetup scale="85" orientation="landscape" cellComments="asDisplayed" r:id="rId2"/>
  <headerFooter alignWithMargins="0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2918D-0DAA-4A4C-88CF-E98E95A85C8A}">
  <sheetPr>
    <tabColor rgb="FF92D050"/>
  </sheetPr>
  <dimension ref="A1:G33"/>
  <sheetViews>
    <sheetView workbookViewId="0">
      <selection activeCell="G6" sqref="G6"/>
    </sheetView>
  </sheetViews>
  <sheetFormatPr defaultColWidth="9.109375" defaultRowHeight="11.4" x14ac:dyDescent="0.2"/>
  <cols>
    <col min="1" max="1" width="55.5546875" style="32" customWidth="1"/>
    <col min="2" max="2" width="9.5546875" style="32" bestFit="1" customWidth="1"/>
    <col min="3" max="3" width="9" style="32" bestFit="1" customWidth="1"/>
    <col min="4" max="4" width="3.44140625" style="32" customWidth="1"/>
    <col min="5" max="5" width="53.44140625" style="32" customWidth="1"/>
    <col min="6" max="6" width="9.88671875" style="32" customWidth="1"/>
    <col min="7" max="7" width="9.5546875" style="32" customWidth="1"/>
    <col min="8" max="16384" width="9.109375" style="32"/>
  </cols>
  <sheetData>
    <row r="1" spans="1:7" ht="17.399999999999999" x14ac:dyDescent="0.3">
      <c r="A1" s="78" t="s">
        <v>386</v>
      </c>
    </row>
    <row r="3" spans="1:7" x14ac:dyDescent="0.2">
      <c r="A3" s="33"/>
    </row>
    <row r="4" spans="1:7" ht="15.6" x14ac:dyDescent="0.3">
      <c r="A4" s="331" t="s">
        <v>20</v>
      </c>
      <c r="B4" s="120"/>
      <c r="C4" s="120"/>
      <c r="E4" s="332" t="s">
        <v>21</v>
      </c>
    </row>
    <row r="5" spans="1:7" ht="12" x14ac:dyDescent="0.25">
      <c r="A5" s="122"/>
      <c r="B5" s="123" t="s">
        <v>220</v>
      </c>
      <c r="C5" s="124" t="s">
        <v>222</v>
      </c>
      <c r="E5" s="34"/>
      <c r="F5" s="35" t="s">
        <v>220</v>
      </c>
      <c r="G5" s="36" t="s">
        <v>222</v>
      </c>
    </row>
    <row r="6" spans="1:7" ht="12" x14ac:dyDescent="0.25">
      <c r="A6" s="125" t="s">
        <v>335</v>
      </c>
      <c r="B6" s="126">
        <v>100000</v>
      </c>
      <c r="C6" s="127">
        <v>100000</v>
      </c>
      <c r="E6" s="37" t="s">
        <v>334</v>
      </c>
      <c r="F6" s="38">
        <v>100000</v>
      </c>
      <c r="G6" s="39">
        <v>100000</v>
      </c>
    </row>
    <row r="7" spans="1:7" x14ac:dyDescent="0.2">
      <c r="A7" s="125" t="str">
        <f>' FY 22-23 GF Calculator'!A6</f>
        <v>Take out the Medical (Flat amount for FY 22-23)</v>
      </c>
      <c r="B7" s="128">
        <f>-C24</f>
        <v>-7397</v>
      </c>
      <c r="C7" s="129">
        <f>-C24</f>
        <v>-7397</v>
      </c>
      <c r="E7" s="125" t="s">
        <v>102</v>
      </c>
      <c r="F7" s="38">
        <f>F6*C20</f>
        <v>7650</v>
      </c>
      <c r="G7" s="39">
        <f>G6*C20</f>
        <v>7650</v>
      </c>
    </row>
    <row r="8" spans="1:7" x14ac:dyDescent="0.2">
      <c r="A8" s="125" t="s">
        <v>12</v>
      </c>
      <c r="B8" s="126">
        <f>SUM(B6:B7)</f>
        <v>92603</v>
      </c>
      <c r="C8" s="127">
        <f>SUM(C6:C7)</f>
        <v>92603</v>
      </c>
      <c r="E8" s="37" t="str">
        <f>A12</f>
        <v>Retirement (Salary x .2450 for SHRA or .1383 for EHRA)</v>
      </c>
      <c r="F8" s="38">
        <f>F6*C21</f>
        <v>24500</v>
      </c>
      <c r="G8" s="39">
        <f>G6*C22</f>
        <v>13830</v>
      </c>
    </row>
    <row r="9" spans="1:7" x14ac:dyDescent="0.2">
      <c r="A9" s="125"/>
      <c r="B9" s="126"/>
      <c r="C9" s="127"/>
      <c r="E9" s="125" t="s">
        <v>387</v>
      </c>
      <c r="F9" s="38">
        <f>F6*C25</f>
        <v>2270</v>
      </c>
      <c r="G9" s="39">
        <f>G6*C25</f>
        <v>2270</v>
      </c>
    </row>
    <row r="10" spans="1:7" x14ac:dyDescent="0.2">
      <c r="A10" s="125" t="s">
        <v>101</v>
      </c>
      <c r="B10" s="126">
        <f>B8/(1+C20+C21+C25)</f>
        <v>68890.79006100283</v>
      </c>
      <c r="C10" s="127">
        <f>C8/(1+C20+C22+C25)</f>
        <v>74830.707070707067</v>
      </c>
      <c r="E10" s="37" t="s">
        <v>0</v>
      </c>
      <c r="F10" s="40">
        <f>C24</f>
        <v>7397</v>
      </c>
      <c r="G10" s="41">
        <f>C24</f>
        <v>7397</v>
      </c>
    </row>
    <row r="11" spans="1:7" x14ac:dyDescent="0.2">
      <c r="A11" s="125" t="s">
        <v>102</v>
      </c>
      <c r="B11" s="126">
        <f>B10*C20</f>
        <v>5270.1454396667168</v>
      </c>
      <c r="C11" s="127">
        <f>C10*C20</f>
        <v>5724.5490909090904</v>
      </c>
      <c r="E11" s="37"/>
      <c r="F11" s="38"/>
      <c r="G11" s="39"/>
    </row>
    <row r="12" spans="1:7" ht="12" x14ac:dyDescent="0.25">
      <c r="A12" s="37" t="str">
        <f>' FY 22-23 GF Calculator'!A11</f>
        <v>Retirement (Salary x .2450 for SHRA or .1383 for EHRA)</v>
      </c>
      <c r="B12" s="38">
        <f>B10*C21</f>
        <v>16878.243564945693</v>
      </c>
      <c r="C12" s="39">
        <f>C10*C22</f>
        <v>10349.086787878789</v>
      </c>
      <c r="E12" s="328" t="s">
        <v>90</v>
      </c>
      <c r="F12" s="329">
        <f>SUM(F6:F10)</f>
        <v>141817</v>
      </c>
      <c r="G12" s="330">
        <f>SUM(G6:G10)</f>
        <v>131147</v>
      </c>
    </row>
    <row r="13" spans="1:7" x14ac:dyDescent="0.2">
      <c r="A13" s="125" t="s">
        <v>387</v>
      </c>
      <c r="B13" s="126">
        <f>B10*C25</f>
        <v>1563.8209343847643</v>
      </c>
      <c r="C13" s="127">
        <f>C10*C25</f>
        <v>1698.6570505050506</v>
      </c>
      <c r="E13" s="37"/>
      <c r="G13" s="42"/>
    </row>
    <row r="14" spans="1:7" ht="12" x14ac:dyDescent="0.25">
      <c r="A14" s="125" t="s">
        <v>0</v>
      </c>
      <c r="B14" s="128">
        <f>C24</f>
        <v>7397</v>
      </c>
      <c r="C14" s="129">
        <f>C24</f>
        <v>7397</v>
      </c>
      <c r="E14" s="325"/>
      <c r="F14" s="326"/>
      <c r="G14" s="327"/>
    </row>
    <row r="15" spans="1:7" x14ac:dyDescent="0.2">
      <c r="A15" s="130" t="s">
        <v>13</v>
      </c>
      <c r="B15" s="131">
        <f>SUM(B10:B14)</f>
        <v>100000</v>
      </c>
      <c r="C15" s="132">
        <f>SUM(C10:C14)</f>
        <v>99999.999999999985</v>
      </c>
    </row>
    <row r="16" spans="1:7" x14ac:dyDescent="0.2">
      <c r="B16" s="40"/>
    </row>
    <row r="17" spans="1:4" ht="13.2" x14ac:dyDescent="0.25">
      <c r="A17" s="220" t="str">
        <f>' FY 22-23 GF Calculator'!A15</f>
        <v>FY 22-23 BENEFITS RATES (PERMANENT EMPLOYEES)</v>
      </c>
      <c r="B17" s="139"/>
      <c r="C17" s="140"/>
    </row>
    <row r="18" spans="1:4" ht="12" x14ac:dyDescent="0.25">
      <c r="A18" s="141"/>
      <c r="B18" s="142"/>
      <c r="C18" s="143"/>
    </row>
    <row r="19" spans="1:4" ht="12" x14ac:dyDescent="0.25">
      <c r="A19" s="144" t="s">
        <v>1</v>
      </c>
      <c r="B19" s="145" t="s">
        <v>2</v>
      </c>
      <c r="C19" s="146" t="s">
        <v>3</v>
      </c>
    </row>
    <row r="20" spans="1:4" x14ac:dyDescent="0.2">
      <c r="A20" s="147" t="s">
        <v>4</v>
      </c>
      <c r="B20" s="148">
        <v>919150</v>
      </c>
      <c r="C20" s="161">
        <f>'[2] FY 16-17 GF Calculator '!C18</f>
        <v>7.6499999999999999E-2</v>
      </c>
    </row>
    <row r="21" spans="1:4" x14ac:dyDescent="0.2">
      <c r="A21" s="147" t="s">
        <v>57</v>
      </c>
      <c r="B21" s="148">
        <v>919050</v>
      </c>
      <c r="C21" s="161">
        <f>' FY 22-23 GF Calculator'!C19</f>
        <v>0.245</v>
      </c>
    </row>
    <row r="22" spans="1:4" x14ac:dyDescent="0.2">
      <c r="A22" s="147" t="s">
        <v>7</v>
      </c>
      <c r="B22" s="148">
        <v>918000</v>
      </c>
      <c r="C22" s="161">
        <f>' FY 22-23 GF Calculator'!C20</f>
        <v>0.13830000000000001</v>
      </c>
    </row>
    <row r="23" spans="1:4" x14ac:dyDescent="0.2">
      <c r="A23" s="147" t="s">
        <v>86</v>
      </c>
      <c r="B23" s="148">
        <v>919100</v>
      </c>
      <c r="C23" s="161">
        <f>' FY 22-23 GF Calculator'!C21</f>
        <v>0.29499999999999998</v>
      </c>
    </row>
    <row r="24" spans="1:4" x14ac:dyDescent="0.2">
      <c r="A24" s="147" t="s">
        <v>6</v>
      </c>
      <c r="B24" s="148">
        <v>917000</v>
      </c>
      <c r="C24" s="112">
        <v>7397</v>
      </c>
      <c r="D24" s="32" t="s">
        <v>22</v>
      </c>
    </row>
    <row r="25" spans="1:4" x14ac:dyDescent="0.2">
      <c r="A25" s="261" t="s">
        <v>226</v>
      </c>
      <c r="B25" s="137">
        <v>919700</v>
      </c>
      <c r="C25" s="162">
        <v>2.2700000000000001E-2</v>
      </c>
    </row>
    <row r="26" spans="1:4" x14ac:dyDescent="0.2">
      <c r="A26" s="147"/>
      <c r="B26" s="148"/>
      <c r="C26" s="152"/>
    </row>
    <row r="27" spans="1:4" x14ac:dyDescent="0.2">
      <c r="A27" s="147" t="s">
        <v>224</v>
      </c>
      <c r="B27" s="163">
        <f>SUM(C20+C21+C25)</f>
        <v>0.34420000000000001</v>
      </c>
      <c r="C27" s="143"/>
    </row>
    <row r="28" spans="1:4" x14ac:dyDescent="0.2">
      <c r="A28" s="150" t="s">
        <v>227</v>
      </c>
      <c r="B28" s="164">
        <f>C20+C22+C25</f>
        <v>0.23749999999999999</v>
      </c>
      <c r="C28" s="151"/>
    </row>
    <row r="30" spans="1:4" x14ac:dyDescent="0.2">
      <c r="A30" s="32" t="str">
        <f>' FY 22-23 GF Calculator'!A28</f>
        <v>Updated:  7/12/2022</v>
      </c>
    </row>
    <row r="32" spans="1:4" x14ac:dyDescent="0.2">
      <c r="A32" s="32" t="s">
        <v>218</v>
      </c>
    </row>
    <row r="33" spans="1:1" ht="26.4" x14ac:dyDescent="0.25">
      <c r="A33" s="259" t="s">
        <v>219</v>
      </c>
    </row>
  </sheetData>
  <hyperlinks>
    <hyperlink ref="A33" r:id="rId1" xr:uid="{D07EE09C-6ADE-4FFB-9433-8C270566C9AB}"/>
  </hyperlinks>
  <printOptions horizontalCentered="1"/>
  <pageMargins left="0.1" right="0.1" top="1" bottom="1" header="0.5" footer="0.5"/>
  <pageSetup scale="85" orientation="landscape" cellComments="asDisplayed" r:id="rId2"/>
  <headerFooter alignWithMargins="0">
    <oddFooter>&amp;L&amp;Z&amp;F</oddFooter>
  </headerFooter>
  <drawing r:id="rId3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G30"/>
  <sheetViews>
    <sheetView workbookViewId="0"/>
  </sheetViews>
  <sheetFormatPr defaultColWidth="9.109375" defaultRowHeight="11.4" x14ac:dyDescent="0.2"/>
  <cols>
    <col min="1" max="1" width="51.5546875" style="32" customWidth="1"/>
    <col min="2" max="2" width="9.5546875" style="32" bestFit="1" customWidth="1"/>
    <col min="3" max="3" width="9" style="32" bestFit="1" customWidth="1"/>
    <col min="4" max="4" width="3.44140625" style="32" customWidth="1"/>
    <col min="5" max="5" width="51.44140625" style="32" bestFit="1" customWidth="1"/>
    <col min="6" max="6" width="9.88671875" style="32" customWidth="1"/>
    <col min="7" max="7" width="9.5546875" style="32" customWidth="1"/>
    <col min="8" max="16384" width="9.109375" style="32"/>
  </cols>
  <sheetData>
    <row r="1" spans="1:7" ht="17.399999999999999" x14ac:dyDescent="0.3">
      <c r="A1" s="78" t="s">
        <v>129</v>
      </c>
    </row>
    <row r="3" spans="1:7" x14ac:dyDescent="0.2">
      <c r="A3" s="33"/>
    </row>
    <row r="4" spans="1:7" ht="13.2" x14ac:dyDescent="0.25">
      <c r="A4" s="121" t="s">
        <v>20</v>
      </c>
      <c r="B4" s="120"/>
      <c r="C4" s="120"/>
      <c r="E4" s="33" t="s">
        <v>21</v>
      </c>
    </row>
    <row r="5" spans="1:7" ht="12" x14ac:dyDescent="0.25">
      <c r="A5" s="122"/>
      <c r="B5" s="123" t="s">
        <v>10</v>
      </c>
      <c r="C5" s="124" t="s">
        <v>11</v>
      </c>
      <c r="E5" s="34"/>
      <c r="F5" s="35" t="s">
        <v>10</v>
      </c>
      <c r="G5" s="36" t="s">
        <v>11</v>
      </c>
    </row>
    <row r="6" spans="1:7" x14ac:dyDescent="0.2">
      <c r="A6" s="125" t="s">
        <v>72</v>
      </c>
      <c r="B6" s="126">
        <v>100000</v>
      </c>
      <c r="C6" s="127">
        <v>100000</v>
      </c>
      <c r="E6" s="37" t="s">
        <v>73</v>
      </c>
      <c r="F6" s="38">
        <v>60000</v>
      </c>
      <c r="G6" s="39">
        <v>60000</v>
      </c>
    </row>
    <row r="7" spans="1:7" x14ac:dyDescent="0.2">
      <c r="A7" s="125" t="s">
        <v>130</v>
      </c>
      <c r="B7" s="128">
        <f>-C23</f>
        <v>-5378</v>
      </c>
      <c r="C7" s="129">
        <f>-C23</f>
        <v>-5378</v>
      </c>
      <c r="E7" s="125" t="s">
        <v>102</v>
      </c>
      <c r="F7" s="38">
        <f>F6*C20</f>
        <v>4590</v>
      </c>
      <c r="G7" s="39">
        <f>G6*C20</f>
        <v>4590</v>
      </c>
    </row>
    <row r="8" spans="1:7" x14ac:dyDescent="0.2">
      <c r="A8" s="125" t="s">
        <v>12</v>
      </c>
      <c r="B8" s="126">
        <f>SUM(B6:B7)</f>
        <v>94622</v>
      </c>
      <c r="C8" s="127">
        <f>SUM(C6:C7)</f>
        <v>94622</v>
      </c>
      <c r="E8" s="37" t="s">
        <v>175</v>
      </c>
      <c r="F8" s="38">
        <f>F6*C21</f>
        <v>9126</v>
      </c>
      <c r="G8" s="39">
        <f>G6*C22</f>
        <v>7644.0000000000009</v>
      </c>
    </row>
    <row r="9" spans="1:7" x14ac:dyDescent="0.2">
      <c r="A9" s="125"/>
      <c r="B9" s="126"/>
      <c r="C9" s="127"/>
      <c r="E9" s="125" t="s">
        <v>134</v>
      </c>
      <c r="F9" s="38">
        <f>F6*C24</f>
        <v>1662</v>
      </c>
      <c r="G9" s="39">
        <f>G6*C24</f>
        <v>1662</v>
      </c>
    </row>
    <row r="10" spans="1:7" x14ac:dyDescent="0.2">
      <c r="A10" s="125" t="s">
        <v>101</v>
      </c>
      <c r="B10" s="126">
        <f>B8/1.2563</f>
        <v>75317.997293640059</v>
      </c>
      <c r="C10" s="127">
        <f>C8/1.2316</f>
        <v>76828.515751867482</v>
      </c>
      <c r="E10" s="37" t="s">
        <v>0</v>
      </c>
      <c r="F10" s="40">
        <f>C23</f>
        <v>5378</v>
      </c>
      <c r="G10" s="41">
        <f>C23</f>
        <v>5378</v>
      </c>
    </row>
    <row r="11" spans="1:7" x14ac:dyDescent="0.2">
      <c r="A11" s="125" t="s">
        <v>102</v>
      </c>
      <c r="B11" s="126">
        <f>B10*C20</f>
        <v>5761.826792963464</v>
      </c>
      <c r="C11" s="127">
        <f>C10*C20</f>
        <v>5877.3814550178622</v>
      </c>
      <c r="E11" s="37"/>
      <c r="F11" s="38"/>
      <c r="G11" s="39"/>
    </row>
    <row r="12" spans="1:7" x14ac:dyDescent="0.2">
      <c r="A12" s="37" t="str">
        <f>' FY 14-15 (General Funds)'!A11</f>
        <v>Retirement (Salary x .1521 for SPA or .1274 for EPA)</v>
      </c>
      <c r="B12" s="38">
        <f>B10*C21</f>
        <v>11455.867388362654</v>
      </c>
      <c r="C12" s="39">
        <f>C10*C22</f>
        <v>9787.9529067879175</v>
      </c>
      <c r="E12" s="37" t="s">
        <v>90</v>
      </c>
      <c r="F12" s="38">
        <f>SUM(F6:F10)</f>
        <v>80756</v>
      </c>
      <c r="G12" s="39">
        <f>SUM(G6:G10)</f>
        <v>79274</v>
      </c>
    </row>
    <row r="13" spans="1:7" x14ac:dyDescent="0.2">
      <c r="A13" s="125" t="s">
        <v>133</v>
      </c>
      <c r="B13" s="126">
        <f>B10*C24</f>
        <v>2086.3085250338295</v>
      </c>
      <c r="C13" s="127">
        <f>C10*C24</f>
        <v>2128.1498863267293</v>
      </c>
      <c r="E13" s="37"/>
      <c r="G13" s="42"/>
    </row>
    <row r="14" spans="1:7" ht="12" x14ac:dyDescent="0.25">
      <c r="A14" s="125" t="s">
        <v>0</v>
      </c>
      <c r="B14" s="128">
        <f>C23</f>
        <v>5378</v>
      </c>
      <c r="C14" s="129">
        <f>C23</f>
        <v>5378</v>
      </c>
      <c r="E14" s="134" t="s">
        <v>105</v>
      </c>
      <c r="F14" s="135">
        <f>(SUM((F7:F10))/F6)</f>
        <v>0.34593333333333331</v>
      </c>
      <c r="G14" s="136">
        <f>(SUM((G7:G10))/G6)</f>
        <v>0.32123333333333332</v>
      </c>
    </row>
    <row r="15" spans="1:7" x14ac:dyDescent="0.2">
      <c r="A15" s="130" t="s">
        <v>13</v>
      </c>
      <c r="B15" s="131">
        <f>SUM(B10:B14)</f>
        <v>100000.00000000001</v>
      </c>
      <c r="C15" s="132">
        <f>SUM(C10:C14)</f>
        <v>100000</v>
      </c>
    </row>
    <row r="16" spans="1:7" x14ac:dyDescent="0.2">
      <c r="B16" s="40"/>
    </row>
    <row r="17" spans="1:4" ht="13.2" x14ac:dyDescent="0.25">
      <c r="A17" s="138" t="s">
        <v>132</v>
      </c>
      <c r="B17" s="139"/>
      <c r="C17" s="140"/>
    </row>
    <row r="18" spans="1:4" ht="12" x14ac:dyDescent="0.25">
      <c r="A18" s="141"/>
      <c r="B18" s="142"/>
      <c r="C18" s="143"/>
    </row>
    <row r="19" spans="1:4" ht="12" x14ac:dyDescent="0.25">
      <c r="A19" s="144" t="s">
        <v>1</v>
      </c>
      <c r="B19" s="145" t="s">
        <v>2</v>
      </c>
      <c r="C19" s="146" t="s">
        <v>3</v>
      </c>
    </row>
    <row r="20" spans="1:4" x14ac:dyDescent="0.2">
      <c r="A20" s="147" t="s">
        <v>4</v>
      </c>
      <c r="B20" s="148">
        <v>919150</v>
      </c>
      <c r="C20" s="161">
        <v>7.6499999999999999E-2</v>
      </c>
    </row>
    <row r="21" spans="1:4" x14ac:dyDescent="0.2">
      <c r="A21" s="147" t="s">
        <v>57</v>
      </c>
      <c r="B21" s="148">
        <v>919050</v>
      </c>
      <c r="C21" s="161">
        <v>0.15210000000000001</v>
      </c>
    </row>
    <row r="22" spans="1:4" x14ac:dyDescent="0.2">
      <c r="A22" s="147" t="s">
        <v>7</v>
      </c>
      <c r="B22" s="148">
        <v>918000</v>
      </c>
      <c r="C22" s="161">
        <v>0.12740000000000001</v>
      </c>
      <c r="D22" s="32" t="s">
        <v>22</v>
      </c>
    </row>
    <row r="23" spans="1:4" x14ac:dyDescent="0.2">
      <c r="A23" s="147" t="s">
        <v>6</v>
      </c>
      <c r="B23" s="148">
        <v>917000</v>
      </c>
      <c r="C23" s="149">
        <v>5378</v>
      </c>
    </row>
    <row r="24" spans="1:4" x14ac:dyDescent="0.2">
      <c r="A24" s="88" t="s">
        <v>121</v>
      </c>
      <c r="B24" s="137">
        <v>919700</v>
      </c>
      <c r="C24" s="162">
        <v>2.7699999999999999E-2</v>
      </c>
    </row>
    <row r="25" spans="1:4" x14ac:dyDescent="0.2">
      <c r="A25" s="147"/>
      <c r="B25" s="148"/>
      <c r="C25" s="152"/>
    </row>
    <row r="26" spans="1:4" x14ac:dyDescent="0.2">
      <c r="A26" s="147" t="s">
        <v>97</v>
      </c>
      <c r="B26" s="163">
        <f>SUM(C20+C21+C24)</f>
        <v>0.25630000000000003</v>
      </c>
      <c r="C26" s="143"/>
    </row>
    <row r="27" spans="1:4" x14ac:dyDescent="0.2">
      <c r="A27" s="150" t="s">
        <v>98</v>
      </c>
      <c r="B27" s="164">
        <f>C20+C22+C24</f>
        <v>0.23160000000000003</v>
      </c>
      <c r="C27" s="151"/>
    </row>
    <row r="30" spans="1:4" x14ac:dyDescent="0.2">
      <c r="A30" s="32" t="s">
        <v>131</v>
      </c>
    </row>
  </sheetData>
  <pageMargins left="0.75" right="0.75" top="1" bottom="1" header="0.5" footer="0.5"/>
  <pageSetup scale="85" orientation="landscape" cellComments="asDisplayed" r:id="rId1"/>
  <headerFooter alignWithMargins="0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H33"/>
  <sheetViews>
    <sheetView workbookViewId="0"/>
  </sheetViews>
  <sheetFormatPr defaultColWidth="9.109375" defaultRowHeight="11.4" x14ac:dyDescent="0.2"/>
  <cols>
    <col min="1" max="1" width="49.44140625" style="32" customWidth="1"/>
    <col min="2" max="2" width="9.44140625" style="32" customWidth="1"/>
    <col min="3" max="3" width="9.88671875" style="32" customWidth="1"/>
    <col min="4" max="4" width="3.44140625" style="32" customWidth="1"/>
    <col min="5" max="5" width="1.5546875" style="32" customWidth="1"/>
    <col min="6" max="6" width="45.44140625" style="32" customWidth="1"/>
    <col min="7" max="7" width="9" style="32" customWidth="1"/>
    <col min="8" max="8" width="9.88671875" style="32" customWidth="1"/>
    <col min="9" max="16384" width="9.109375" style="32"/>
  </cols>
  <sheetData>
    <row r="1" spans="1:8" ht="17.399999999999999" x14ac:dyDescent="0.3">
      <c r="A1" s="78" t="s">
        <v>126</v>
      </c>
    </row>
    <row r="3" spans="1:8" x14ac:dyDescent="0.2">
      <c r="A3" s="33" t="s">
        <v>20</v>
      </c>
      <c r="F3" s="33" t="s">
        <v>21</v>
      </c>
    </row>
    <row r="4" spans="1:8" ht="12" x14ac:dyDescent="0.25">
      <c r="A4" s="34"/>
      <c r="B4" s="35" t="s">
        <v>10</v>
      </c>
      <c r="C4" s="36" t="s">
        <v>11</v>
      </c>
      <c r="F4" s="34"/>
      <c r="G4" s="35" t="s">
        <v>10</v>
      </c>
      <c r="H4" s="36" t="s">
        <v>11</v>
      </c>
    </row>
    <row r="5" spans="1:8" x14ac:dyDescent="0.2">
      <c r="A5" s="37" t="s">
        <v>72</v>
      </c>
      <c r="B5" s="38">
        <v>100000</v>
      </c>
      <c r="C5" s="39">
        <v>100000</v>
      </c>
      <c r="F5" s="37" t="s">
        <v>73</v>
      </c>
      <c r="G5" s="38">
        <v>50000</v>
      </c>
      <c r="H5" s="39">
        <v>50000</v>
      </c>
    </row>
    <row r="6" spans="1:8" x14ac:dyDescent="0.2">
      <c r="A6" s="37" t="s">
        <v>127</v>
      </c>
      <c r="B6" s="40">
        <f>-C22</f>
        <v>-5378</v>
      </c>
      <c r="C6" s="41">
        <f>-C22</f>
        <v>-5378</v>
      </c>
      <c r="F6" s="37" t="str">
        <f>A10</f>
        <v>FICA (Salary X .0765)</v>
      </c>
      <c r="G6" s="38">
        <f>G5*C18</f>
        <v>3825</v>
      </c>
      <c r="H6" s="39">
        <f>H5*C18</f>
        <v>3825</v>
      </c>
    </row>
    <row r="7" spans="1:8" x14ac:dyDescent="0.2">
      <c r="A7" s="37" t="s">
        <v>12</v>
      </c>
      <c r="B7" s="38">
        <f>SUM(B5:B6)</f>
        <v>94622</v>
      </c>
      <c r="C7" s="39">
        <f>SUM(C5:C6)</f>
        <v>94622</v>
      </c>
      <c r="F7" s="37" t="str">
        <f>A11</f>
        <v>Retirement (Salary x .1521 for SPA or .1274 for EPA)</v>
      </c>
      <c r="G7" s="38">
        <f>G5*C19</f>
        <v>7605.0000000000009</v>
      </c>
      <c r="H7" s="39">
        <f>H5*C20</f>
        <v>6370.0000000000009</v>
      </c>
    </row>
    <row r="8" spans="1:8" x14ac:dyDescent="0.2">
      <c r="A8" s="37"/>
      <c r="B8" s="38"/>
      <c r="C8" s="39"/>
      <c r="F8" s="37" t="s">
        <v>0</v>
      </c>
      <c r="G8" s="40">
        <f>C22</f>
        <v>5378</v>
      </c>
      <c r="H8" s="41">
        <f>C22</f>
        <v>5378</v>
      </c>
    </row>
    <row r="9" spans="1:8" x14ac:dyDescent="0.2">
      <c r="A9" s="37" t="s">
        <v>76</v>
      </c>
      <c r="B9" s="38">
        <f>B7/1.2286</f>
        <v>77016.115904281294</v>
      </c>
      <c r="C9" s="39">
        <f>C7/1.2039</f>
        <v>78596.228922668</v>
      </c>
      <c r="F9" s="37"/>
      <c r="G9" s="38"/>
      <c r="H9" s="39"/>
    </row>
    <row r="10" spans="1:8" x14ac:dyDescent="0.2">
      <c r="A10" s="37" t="s">
        <v>77</v>
      </c>
      <c r="B10" s="38">
        <f>B9*C18</f>
        <v>5891.7328666775193</v>
      </c>
      <c r="C10" s="39">
        <f>C9*C18</f>
        <v>6012.6115125841015</v>
      </c>
      <c r="F10" s="37" t="s">
        <v>90</v>
      </c>
      <c r="G10" s="38">
        <f>SUM(G5:G8)</f>
        <v>66808</v>
      </c>
      <c r="H10" s="39">
        <f>SUM(H5:H8)</f>
        <v>65573</v>
      </c>
    </row>
    <row r="11" spans="1:8" x14ac:dyDescent="0.2">
      <c r="A11" s="37" t="s">
        <v>175</v>
      </c>
      <c r="B11" s="38">
        <f>B9*C19</f>
        <v>11714.151229041187</v>
      </c>
      <c r="C11" s="39">
        <f>C9*C20</f>
        <v>10013.159564747904</v>
      </c>
      <c r="F11" s="37"/>
      <c r="H11" s="42"/>
    </row>
    <row r="12" spans="1:8" x14ac:dyDescent="0.2">
      <c r="A12" s="37" t="s">
        <v>0</v>
      </c>
      <c r="B12" s="40">
        <f>C22</f>
        <v>5378</v>
      </c>
      <c r="C12" s="41">
        <f>C22</f>
        <v>5378</v>
      </c>
      <c r="F12" s="37"/>
      <c r="H12" s="42"/>
    </row>
    <row r="13" spans="1:8" x14ac:dyDescent="0.2">
      <c r="A13" s="43" t="s">
        <v>13</v>
      </c>
      <c r="B13" s="44">
        <f>SUM(B9:B12)</f>
        <v>100000</v>
      </c>
      <c r="C13" s="45">
        <f>SUM(C9:C12)</f>
        <v>100000</v>
      </c>
      <c r="F13" s="43"/>
      <c r="G13" s="46"/>
      <c r="H13" s="47"/>
    </row>
    <row r="15" spans="1:8" ht="13.2" x14ac:dyDescent="0.25">
      <c r="A15" s="165" t="s">
        <v>135</v>
      </c>
      <c r="B15" s="166"/>
      <c r="C15" s="167"/>
      <c r="F15" s="106" t="s">
        <v>93</v>
      </c>
      <c r="G15"/>
      <c r="H15"/>
    </row>
    <row r="16" spans="1:8" ht="12" x14ac:dyDescent="0.25">
      <c r="A16" s="168"/>
      <c r="B16" s="169"/>
      <c r="C16" s="170"/>
      <c r="F16" s="34"/>
      <c r="G16" s="35" t="s">
        <v>10</v>
      </c>
      <c r="H16" s="36" t="s">
        <v>11</v>
      </c>
    </row>
    <row r="17" spans="1:8" ht="12" x14ac:dyDescent="0.25">
      <c r="A17" s="171" t="s">
        <v>1</v>
      </c>
      <c r="B17" s="172" t="s">
        <v>2</v>
      </c>
      <c r="C17" s="173" t="s">
        <v>3</v>
      </c>
      <c r="F17" s="37" t="s">
        <v>73</v>
      </c>
      <c r="G17" s="38">
        <v>50000</v>
      </c>
      <c r="H17" s="107">
        <v>50000</v>
      </c>
    </row>
    <row r="18" spans="1:8" x14ac:dyDescent="0.2">
      <c r="A18" s="174" t="s">
        <v>4</v>
      </c>
      <c r="B18" s="175">
        <v>919150</v>
      </c>
      <c r="C18" s="176">
        <v>7.6499999999999999E-2</v>
      </c>
      <c r="F18" s="37" t="str">
        <f>A10</f>
        <v>FICA (Salary X .0765)</v>
      </c>
      <c r="G18" s="38">
        <f>G17*C18</f>
        <v>3825</v>
      </c>
      <c r="H18" s="107">
        <f>H17*C18</f>
        <v>3825</v>
      </c>
    </row>
    <row r="19" spans="1:8" x14ac:dyDescent="0.2">
      <c r="A19" s="174" t="s">
        <v>57</v>
      </c>
      <c r="B19" s="175">
        <v>919050</v>
      </c>
      <c r="C19" s="176">
        <v>0.15210000000000001</v>
      </c>
      <c r="F19" s="37" t="s">
        <v>177</v>
      </c>
      <c r="G19" s="38">
        <f>G17*C21</f>
        <v>10105</v>
      </c>
      <c r="H19" s="107">
        <f>H17*C21</f>
        <v>10105</v>
      </c>
    </row>
    <row r="20" spans="1:8" x14ac:dyDescent="0.2">
      <c r="A20" s="174" t="s">
        <v>7</v>
      </c>
      <c r="B20" s="175">
        <v>918000</v>
      </c>
      <c r="C20" s="176">
        <v>0.12740000000000001</v>
      </c>
      <c r="F20" s="37" t="s">
        <v>0</v>
      </c>
      <c r="G20" s="40">
        <f>C22</f>
        <v>5378</v>
      </c>
      <c r="H20" s="100">
        <f>C22</f>
        <v>5378</v>
      </c>
    </row>
    <row r="21" spans="1:8" x14ac:dyDescent="0.2">
      <c r="A21" s="174" t="s">
        <v>86</v>
      </c>
      <c r="B21" s="175">
        <v>919100</v>
      </c>
      <c r="C21" s="176">
        <v>0.2021</v>
      </c>
      <c r="F21" s="37" t="s">
        <v>95</v>
      </c>
      <c r="G21" s="38">
        <f>SUM(G17:G20)</f>
        <v>69308</v>
      </c>
      <c r="H21" s="107">
        <f>SUM(H17:H20)</f>
        <v>69308</v>
      </c>
    </row>
    <row r="22" spans="1:8" x14ac:dyDescent="0.2">
      <c r="A22" s="174" t="s">
        <v>6</v>
      </c>
      <c r="B22" s="175">
        <v>917000</v>
      </c>
      <c r="C22" s="177">
        <v>5378</v>
      </c>
      <c r="D22" s="32" t="s">
        <v>22</v>
      </c>
      <c r="F22" s="37"/>
      <c r="G22" s="38"/>
      <c r="H22" s="42"/>
    </row>
    <row r="23" spans="1:8" x14ac:dyDescent="0.2">
      <c r="A23" s="174"/>
      <c r="B23" s="169"/>
      <c r="C23" s="170"/>
      <c r="F23" s="153"/>
      <c r="G23" s="154"/>
      <c r="H23" s="155"/>
    </row>
    <row r="24" spans="1:8" x14ac:dyDescent="0.2">
      <c r="A24" s="174" t="s">
        <v>9</v>
      </c>
      <c r="B24" s="178">
        <f>SUM(C18+C19)</f>
        <v>0.22860000000000003</v>
      </c>
      <c r="C24" s="170"/>
      <c r="F24" s="37" t="s">
        <v>72</v>
      </c>
      <c r="G24" s="38">
        <v>50000</v>
      </c>
      <c r="H24" s="39">
        <v>50000</v>
      </c>
    </row>
    <row r="25" spans="1:8" x14ac:dyDescent="0.2">
      <c r="A25" s="174" t="s">
        <v>120</v>
      </c>
      <c r="B25" s="178">
        <f>SUM(C18+C20)</f>
        <v>0.20390000000000003</v>
      </c>
      <c r="C25" s="170"/>
      <c r="F25" s="37" t="s">
        <v>127</v>
      </c>
      <c r="G25" s="40">
        <f>-C22</f>
        <v>-5378</v>
      </c>
      <c r="H25" s="41">
        <f>-C22</f>
        <v>-5378</v>
      </c>
    </row>
    <row r="26" spans="1:8" x14ac:dyDescent="0.2">
      <c r="A26" s="179" t="s">
        <v>119</v>
      </c>
      <c r="B26" s="180">
        <f>SUM(C18+C21)</f>
        <v>0.27860000000000001</v>
      </c>
      <c r="C26" s="181"/>
      <c r="F26" s="37" t="s">
        <v>12</v>
      </c>
      <c r="G26" s="38">
        <f>SUM(G24:G25)</f>
        <v>44622</v>
      </c>
      <c r="H26" s="39">
        <f>SUM(H24:H25)</f>
        <v>44622</v>
      </c>
    </row>
    <row r="27" spans="1:8" x14ac:dyDescent="0.2">
      <c r="F27" s="37"/>
      <c r="G27" s="38"/>
      <c r="H27" s="42"/>
    </row>
    <row r="28" spans="1:8" x14ac:dyDescent="0.2">
      <c r="F28" s="37" t="s">
        <v>76</v>
      </c>
      <c r="G28" s="38">
        <f>G26/1.2786</f>
        <v>34899.108399812292</v>
      </c>
      <c r="H28" s="39">
        <f>H26/1.2786</f>
        <v>34899.108399812292</v>
      </c>
    </row>
    <row r="29" spans="1:8" x14ac:dyDescent="0.2">
      <c r="A29" s="32" t="s">
        <v>128</v>
      </c>
      <c r="F29" s="37" t="str">
        <f>A10</f>
        <v>FICA (Salary X .0765)</v>
      </c>
      <c r="G29" s="38">
        <f>G28*C18</f>
        <v>2669.7817925856402</v>
      </c>
      <c r="H29" s="39">
        <f>H28*C18</f>
        <v>2669.7817925856402</v>
      </c>
    </row>
    <row r="30" spans="1:8" x14ac:dyDescent="0.2">
      <c r="F30" s="37" t="s">
        <v>176</v>
      </c>
      <c r="G30" s="38">
        <f>G28*C21</f>
        <v>7053.1098076020644</v>
      </c>
      <c r="H30" s="39">
        <f>H28*C21</f>
        <v>7053.1098076020644</v>
      </c>
    </row>
    <row r="31" spans="1:8" x14ac:dyDescent="0.2">
      <c r="F31" s="37" t="s">
        <v>0</v>
      </c>
      <c r="G31" s="40">
        <f>C22</f>
        <v>5378</v>
      </c>
      <c r="H31" s="158">
        <f>C22</f>
        <v>5378</v>
      </c>
    </row>
    <row r="32" spans="1:8" x14ac:dyDescent="0.2">
      <c r="F32" s="43" t="s">
        <v>13</v>
      </c>
      <c r="G32" s="44">
        <f>SUM(G28:G31)</f>
        <v>50000</v>
      </c>
      <c r="H32" s="45">
        <f>SUM(H28:H31)</f>
        <v>50000</v>
      </c>
    </row>
    <row r="33" spans="8:8" x14ac:dyDescent="0.2">
      <c r="H33" s="157"/>
    </row>
  </sheetData>
  <pageMargins left="0.75" right="0.75" top="1" bottom="1" header="0.5" footer="0.5"/>
  <pageSetup scale="85" orientation="landscape" cellComments="asDisplayed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/>
  <dimension ref="A1:H33"/>
  <sheetViews>
    <sheetView workbookViewId="0"/>
  </sheetViews>
  <sheetFormatPr defaultColWidth="9.109375" defaultRowHeight="11.4" x14ac:dyDescent="0.2"/>
  <cols>
    <col min="1" max="1" width="49.44140625" style="32" customWidth="1"/>
    <col min="2" max="2" width="9.44140625" style="32" customWidth="1"/>
    <col min="3" max="3" width="9.88671875" style="32" customWidth="1"/>
    <col min="4" max="4" width="3.44140625" style="32" customWidth="1"/>
    <col min="5" max="5" width="1.5546875" style="32" customWidth="1"/>
    <col min="6" max="6" width="45.44140625" style="32" customWidth="1"/>
    <col min="7" max="7" width="9" style="32" customWidth="1"/>
    <col min="8" max="8" width="9.88671875" style="32" customWidth="1"/>
    <col min="9" max="16384" width="9.109375" style="32"/>
  </cols>
  <sheetData>
    <row r="1" spans="1:8" ht="17.399999999999999" x14ac:dyDescent="0.3">
      <c r="A1" s="78" t="s">
        <v>111</v>
      </c>
    </row>
    <row r="3" spans="1:8" x14ac:dyDescent="0.2">
      <c r="A3" s="33" t="s">
        <v>20</v>
      </c>
      <c r="F3" s="33" t="s">
        <v>21</v>
      </c>
    </row>
    <row r="4" spans="1:8" ht="12" x14ac:dyDescent="0.25">
      <c r="A4" s="34"/>
      <c r="B4" s="35" t="s">
        <v>10</v>
      </c>
      <c r="C4" s="36" t="s">
        <v>11</v>
      </c>
      <c r="F4" s="34"/>
      <c r="G4" s="35" t="s">
        <v>10</v>
      </c>
      <c r="H4" s="36" t="s">
        <v>11</v>
      </c>
    </row>
    <row r="5" spans="1:8" x14ac:dyDescent="0.2">
      <c r="A5" s="37" t="s">
        <v>72</v>
      </c>
      <c r="B5" s="38">
        <v>100000</v>
      </c>
      <c r="C5" s="39">
        <v>100000</v>
      </c>
      <c r="F5" s="37" t="s">
        <v>73</v>
      </c>
      <c r="G5" s="38">
        <v>50000</v>
      </c>
      <c r="H5" s="39">
        <v>50000</v>
      </c>
    </row>
    <row r="6" spans="1:8" x14ac:dyDescent="0.2">
      <c r="A6" s="37" t="s">
        <v>112</v>
      </c>
      <c r="B6" s="40">
        <f>-C22</f>
        <v>-5285</v>
      </c>
      <c r="C6" s="41">
        <f>-C22</f>
        <v>-5285</v>
      </c>
      <c r="F6" s="37" t="s">
        <v>77</v>
      </c>
      <c r="G6" s="38">
        <f>G5*C18</f>
        <v>3825</v>
      </c>
      <c r="H6" s="39">
        <f>H5*C18</f>
        <v>3825</v>
      </c>
    </row>
    <row r="7" spans="1:8" x14ac:dyDescent="0.2">
      <c r="A7" s="37" t="s">
        <v>12</v>
      </c>
      <c r="B7" s="38">
        <f>SUM(B5:B6)</f>
        <v>94715</v>
      </c>
      <c r="C7" s="39">
        <f>SUM(C5:C6)</f>
        <v>94715</v>
      </c>
      <c r="F7" s="37" t="s">
        <v>113</v>
      </c>
      <c r="G7" s="38">
        <f>G5*C19</f>
        <v>7345</v>
      </c>
      <c r="H7" s="39">
        <f>H5*C20</f>
        <v>6340</v>
      </c>
    </row>
    <row r="8" spans="1:8" x14ac:dyDescent="0.2">
      <c r="A8" s="37"/>
      <c r="B8" s="38"/>
      <c r="C8" s="39"/>
      <c r="F8" s="37" t="s">
        <v>0</v>
      </c>
      <c r="G8" s="40">
        <f>C22</f>
        <v>5285</v>
      </c>
      <c r="H8" s="41">
        <f>C22</f>
        <v>5285</v>
      </c>
    </row>
    <row r="9" spans="1:8" x14ac:dyDescent="0.2">
      <c r="A9" s="37" t="s">
        <v>76</v>
      </c>
      <c r="B9" s="38">
        <f>B7/1.2234</f>
        <v>77419.486676475397</v>
      </c>
      <c r="C9" s="39">
        <f>C7/1.2033</f>
        <v>78712.706723177922</v>
      </c>
      <c r="F9" s="37"/>
      <c r="G9" s="38"/>
      <c r="H9" s="39"/>
    </row>
    <row r="10" spans="1:8" x14ac:dyDescent="0.2">
      <c r="A10" s="37" t="s">
        <v>77</v>
      </c>
      <c r="B10" s="38">
        <f>B9*C18</f>
        <v>5922.5907307503676</v>
      </c>
      <c r="C10" s="39">
        <f>C9*C18</f>
        <v>6021.5220643231105</v>
      </c>
      <c r="F10" s="37" t="s">
        <v>90</v>
      </c>
      <c r="G10" s="38">
        <f>SUM(G5:G8)</f>
        <v>66455</v>
      </c>
      <c r="H10" s="39">
        <f>SUM(H5:H8)</f>
        <v>65450</v>
      </c>
    </row>
    <row r="11" spans="1:8" x14ac:dyDescent="0.2">
      <c r="A11" s="37" t="s">
        <v>113</v>
      </c>
      <c r="B11" s="38">
        <f>B9*C19</f>
        <v>11372.922592774235</v>
      </c>
      <c r="C11" s="39">
        <f>C9*C20</f>
        <v>9980.7712124989594</v>
      </c>
      <c r="F11" s="37"/>
      <c r="H11" s="42"/>
    </row>
    <row r="12" spans="1:8" x14ac:dyDescent="0.2">
      <c r="A12" s="37" t="s">
        <v>0</v>
      </c>
      <c r="B12" s="40">
        <f>C22</f>
        <v>5285</v>
      </c>
      <c r="C12" s="41">
        <f>C22</f>
        <v>5285</v>
      </c>
      <c r="F12" s="37"/>
      <c r="H12" s="42"/>
    </row>
    <row r="13" spans="1:8" x14ac:dyDescent="0.2">
      <c r="A13" s="43" t="s">
        <v>13</v>
      </c>
      <c r="B13" s="44">
        <f>SUM(B9:B12)</f>
        <v>100000</v>
      </c>
      <c r="C13" s="45">
        <f>SUM(C9:C12)</f>
        <v>100000</v>
      </c>
      <c r="F13" s="43"/>
      <c r="G13" s="46"/>
      <c r="H13" s="47"/>
    </row>
    <row r="15" spans="1:8" ht="13.2" x14ac:dyDescent="0.25">
      <c r="A15" s="138" t="s">
        <v>115</v>
      </c>
      <c r="B15" s="139"/>
      <c r="C15" s="140"/>
      <c r="F15" s="106" t="s">
        <v>93</v>
      </c>
      <c r="G15"/>
      <c r="H15"/>
    </row>
    <row r="16" spans="1:8" ht="12" x14ac:dyDescent="0.25">
      <c r="A16" s="141"/>
      <c r="B16" s="142"/>
      <c r="C16" s="143"/>
      <c r="F16" s="34"/>
      <c r="G16" s="35" t="s">
        <v>10</v>
      </c>
      <c r="H16" s="36" t="s">
        <v>11</v>
      </c>
    </row>
    <row r="17" spans="1:8" ht="12" x14ac:dyDescent="0.25">
      <c r="A17" s="144" t="s">
        <v>1</v>
      </c>
      <c r="B17" s="145" t="s">
        <v>2</v>
      </c>
      <c r="C17" s="146" t="s">
        <v>3</v>
      </c>
      <c r="F17" s="37" t="s">
        <v>73</v>
      </c>
      <c r="G17" s="38">
        <v>50000</v>
      </c>
      <c r="H17" s="107">
        <v>50000</v>
      </c>
    </row>
    <row r="18" spans="1:8" x14ac:dyDescent="0.2">
      <c r="A18" s="147" t="s">
        <v>4</v>
      </c>
      <c r="B18" s="148">
        <v>919150</v>
      </c>
      <c r="C18" s="161">
        <v>7.6499999999999999E-2</v>
      </c>
      <c r="F18" s="37" t="s">
        <v>94</v>
      </c>
      <c r="G18" s="38">
        <f>G17*C18</f>
        <v>3825</v>
      </c>
      <c r="H18" s="107">
        <f>H17*C18</f>
        <v>3825</v>
      </c>
    </row>
    <row r="19" spans="1:8" x14ac:dyDescent="0.2">
      <c r="A19" s="147" t="s">
        <v>57</v>
      </c>
      <c r="B19" s="148">
        <v>919050</v>
      </c>
      <c r="C19" s="161">
        <v>0.1469</v>
      </c>
      <c r="F19" s="37" t="s">
        <v>114</v>
      </c>
      <c r="G19" s="38">
        <f>G17*C21</f>
        <v>9845</v>
      </c>
      <c r="H19" s="107">
        <f>H17*C21</f>
        <v>9845</v>
      </c>
    </row>
    <row r="20" spans="1:8" x14ac:dyDescent="0.2">
      <c r="A20" s="147" t="s">
        <v>7</v>
      </c>
      <c r="B20" s="148">
        <v>918000</v>
      </c>
      <c r="C20" s="161">
        <v>0.1268</v>
      </c>
      <c r="F20" s="37" t="s">
        <v>0</v>
      </c>
      <c r="G20" s="40">
        <f>C22</f>
        <v>5285</v>
      </c>
      <c r="H20" s="100">
        <f>C22</f>
        <v>5285</v>
      </c>
    </row>
    <row r="21" spans="1:8" x14ac:dyDescent="0.2">
      <c r="A21" s="147" t="s">
        <v>86</v>
      </c>
      <c r="B21" s="148">
        <v>919100</v>
      </c>
      <c r="C21" s="161">
        <v>0.19689999999999999</v>
      </c>
      <c r="F21" s="37" t="s">
        <v>95</v>
      </c>
      <c r="G21" s="38">
        <f>SUM(G17:G20)</f>
        <v>68955</v>
      </c>
      <c r="H21" s="107">
        <f>SUM(H17:H20)</f>
        <v>68955</v>
      </c>
    </row>
    <row r="22" spans="1:8" x14ac:dyDescent="0.2">
      <c r="A22" s="147" t="s">
        <v>6</v>
      </c>
      <c r="B22" s="148">
        <v>917000</v>
      </c>
      <c r="C22" s="149">
        <v>5285</v>
      </c>
      <c r="D22" s="32" t="s">
        <v>22</v>
      </c>
      <c r="F22" s="37"/>
      <c r="G22" s="38"/>
      <c r="H22" s="42"/>
    </row>
    <row r="23" spans="1:8" x14ac:dyDescent="0.2">
      <c r="A23" s="147"/>
      <c r="B23" s="142"/>
      <c r="C23" s="143"/>
      <c r="F23" s="153"/>
      <c r="G23" s="154"/>
      <c r="H23" s="155"/>
    </row>
    <row r="24" spans="1:8" x14ac:dyDescent="0.2">
      <c r="A24" s="147" t="s">
        <v>9</v>
      </c>
      <c r="B24" s="159">
        <f>SUM(C18+C19)</f>
        <v>0.22339999999999999</v>
      </c>
      <c r="C24" s="143"/>
      <c r="F24" s="37" t="s">
        <v>72</v>
      </c>
      <c r="G24" s="38">
        <v>50000</v>
      </c>
      <c r="H24" s="39">
        <v>50000</v>
      </c>
    </row>
    <row r="25" spans="1:8" x14ac:dyDescent="0.2">
      <c r="A25" s="147" t="s">
        <v>120</v>
      </c>
      <c r="B25" s="159">
        <f>SUM(C18+C20)</f>
        <v>0.20329999999999998</v>
      </c>
      <c r="C25" s="143"/>
      <c r="F25" s="37" t="s">
        <v>112</v>
      </c>
      <c r="G25" s="40">
        <f>-C22</f>
        <v>-5285</v>
      </c>
      <c r="H25" s="41">
        <f>-C22</f>
        <v>-5285</v>
      </c>
    </row>
    <row r="26" spans="1:8" x14ac:dyDescent="0.2">
      <c r="A26" s="156" t="s">
        <v>119</v>
      </c>
      <c r="B26" s="160">
        <f>SUM(C18+C21)</f>
        <v>0.27339999999999998</v>
      </c>
      <c r="C26" s="151"/>
      <c r="F26" s="37" t="s">
        <v>12</v>
      </c>
      <c r="G26" s="38">
        <f>SUM(G24:G25)</f>
        <v>44715</v>
      </c>
      <c r="H26" s="39">
        <f>SUM(H24:H25)</f>
        <v>44715</v>
      </c>
    </row>
    <row r="27" spans="1:8" x14ac:dyDescent="0.2">
      <c r="F27" s="37"/>
      <c r="G27" s="38"/>
      <c r="H27" s="42"/>
    </row>
    <row r="28" spans="1:8" x14ac:dyDescent="0.2">
      <c r="F28" s="37" t="s">
        <v>76</v>
      </c>
      <c r="G28" s="38">
        <f>G26/1.2734</f>
        <v>35114.653683053242</v>
      </c>
      <c r="H28" s="39">
        <f>H26/1.2734</f>
        <v>35114.653683053242</v>
      </c>
    </row>
    <row r="29" spans="1:8" x14ac:dyDescent="0.2">
      <c r="A29" s="32" t="s">
        <v>123</v>
      </c>
      <c r="F29" s="37" t="s">
        <v>77</v>
      </c>
      <c r="G29" s="38">
        <f>G28*C18</f>
        <v>2686.2710067535731</v>
      </c>
      <c r="H29" s="39">
        <f>H28*C18</f>
        <v>2686.2710067535731</v>
      </c>
    </row>
    <row r="30" spans="1:8" x14ac:dyDescent="0.2">
      <c r="F30" s="37" t="s">
        <v>118</v>
      </c>
      <c r="G30" s="38">
        <f>G28*C21</f>
        <v>6914.0753101931832</v>
      </c>
      <c r="H30" s="39">
        <f>H28*C21</f>
        <v>6914.0753101931832</v>
      </c>
    </row>
    <row r="31" spans="1:8" x14ac:dyDescent="0.2">
      <c r="F31" s="37" t="s">
        <v>0</v>
      </c>
      <c r="G31" s="40">
        <f>C22</f>
        <v>5285</v>
      </c>
      <c r="H31" s="158">
        <f>C22</f>
        <v>5285</v>
      </c>
    </row>
    <row r="32" spans="1:8" x14ac:dyDescent="0.2">
      <c r="F32" s="43" t="s">
        <v>13</v>
      </c>
      <c r="G32" s="44">
        <f>SUM(G28:G31)</f>
        <v>50000</v>
      </c>
      <c r="H32" s="45">
        <f>SUM(H28:H31)</f>
        <v>50000</v>
      </c>
    </row>
    <row r="33" spans="8:8" x14ac:dyDescent="0.2">
      <c r="H33" s="157"/>
    </row>
  </sheetData>
  <pageMargins left="0.75" right="0.75" top="1" bottom="1" header="0.5" footer="0.5"/>
  <pageSetup scale="85" orientation="landscape" cellComments="asDisplayed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/>
  <dimension ref="A1:G30"/>
  <sheetViews>
    <sheetView workbookViewId="0"/>
  </sheetViews>
  <sheetFormatPr defaultColWidth="9.109375" defaultRowHeight="11.4" x14ac:dyDescent="0.2"/>
  <cols>
    <col min="1" max="1" width="50.44140625" style="32" customWidth="1"/>
    <col min="2" max="2" width="9.5546875" style="32" bestFit="1" customWidth="1"/>
    <col min="3" max="3" width="9" style="32" bestFit="1" customWidth="1"/>
    <col min="4" max="4" width="3.44140625" style="32" customWidth="1"/>
    <col min="5" max="5" width="51.44140625" style="32" bestFit="1" customWidth="1"/>
    <col min="6" max="6" width="9.88671875" style="32" customWidth="1"/>
    <col min="7" max="7" width="9.5546875" style="32" customWidth="1"/>
    <col min="8" max="16384" width="9.109375" style="32"/>
  </cols>
  <sheetData>
    <row r="1" spans="1:7" ht="17.399999999999999" x14ac:dyDescent="0.3">
      <c r="A1" s="78" t="s">
        <v>116</v>
      </c>
    </row>
    <row r="3" spans="1:7" x14ac:dyDescent="0.2">
      <c r="A3" s="33"/>
    </row>
    <row r="4" spans="1:7" ht="13.2" x14ac:dyDescent="0.25">
      <c r="A4" s="121" t="s">
        <v>20</v>
      </c>
      <c r="B4" s="120"/>
      <c r="C4" s="120"/>
      <c r="E4" s="33" t="s">
        <v>21</v>
      </c>
    </row>
    <row r="5" spans="1:7" ht="12" x14ac:dyDescent="0.25">
      <c r="A5" s="122"/>
      <c r="B5" s="123" t="s">
        <v>10</v>
      </c>
      <c r="C5" s="124" t="s">
        <v>11</v>
      </c>
      <c r="E5" s="34"/>
      <c r="F5" s="35" t="s">
        <v>10</v>
      </c>
      <c r="G5" s="36" t="s">
        <v>11</v>
      </c>
    </row>
    <row r="6" spans="1:7" x14ac:dyDescent="0.2">
      <c r="A6" s="125" t="s">
        <v>72</v>
      </c>
      <c r="B6" s="126">
        <v>100000</v>
      </c>
      <c r="C6" s="127">
        <v>100000</v>
      </c>
      <c r="E6" s="37" t="s">
        <v>73</v>
      </c>
      <c r="F6" s="38">
        <v>60000</v>
      </c>
      <c r="G6" s="39">
        <v>60000</v>
      </c>
    </row>
    <row r="7" spans="1:7" x14ac:dyDescent="0.2">
      <c r="A7" s="125" t="s">
        <v>117</v>
      </c>
      <c r="B7" s="128">
        <f>-C23</f>
        <v>-5285</v>
      </c>
      <c r="C7" s="129">
        <f>-C23</f>
        <v>-5285</v>
      </c>
      <c r="E7" s="125" t="s">
        <v>102</v>
      </c>
      <c r="F7" s="38">
        <f>F6*C20</f>
        <v>4590</v>
      </c>
      <c r="G7" s="39">
        <f>G6*C20</f>
        <v>4590</v>
      </c>
    </row>
    <row r="8" spans="1:7" x14ac:dyDescent="0.2">
      <c r="A8" s="125" t="s">
        <v>12</v>
      </c>
      <c r="B8" s="126">
        <f>SUM(B6:B7)</f>
        <v>94715</v>
      </c>
      <c r="C8" s="127">
        <f>SUM(C6:C7)</f>
        <v>94715</v>
      </c>
      <c r="E8" s="37" t="s">
        <v>113</v>
      </c>
      <c r="F8" s="38">
        <f>F6*C21</f>
        <v>8814</v>
      </c>
      <c r="G8" s="39">
        <f>G6*C22</f>
        <v>7608</v>
      </c>
    </row>
    <row r="9" spans="1:7" x14ac:dyDescent="0.2">
      <c r="A9" s="125"/>
      <c r="B9" s="126"/>
      <c r="C9" s="127"/>
      <c r="E9" s="125" t="s">
        <v>124</v>
      </c>
      <c r="F9" s="38">
        <f>F6*C24</f>
        <v>774</v>
      </c>
      <c r="G9" s="39">
        <f>G6*C24</f>
        <v>774</v>
      </c>
    </row>
    <row r="10" spans="1:7" x14ac:dyDescent="0.2">
      <c r="A10" s="125" t="s">
        <v>101</v>
      </c>
      <c r="B10" s="126">
        <f>B8/1.2374</f>
        <v>76543.559075480836</v>
      </c>
      <c r="C10" s="127">
        <f>C8/1.2173</f>
        <v>77807.442701059714</v>
      </c>
      <c r="E10" s="37" t="s">
        <v>0</v>
      </c>
      <c r="F10" s="40">
        <f>C23</f>
        <v>5285</v>
      </c>
      <c r="G10" s="41">
        <f>C23</f>
        <v>5285</v>
      </c>
    </row>
    <row r="11" spans="1:7" x14ac:dyDescent="0.2">
      <c r="A11" s="125" t="s">
        <v>102</v>
      </c>
      <c r="B11" s="126">
        <f>B10*C20</f>
        <v>5855.582269274284</v>
      </c>
      <c r="C11" s="127">
        <f>C10*C20</f>
        <v>5952.2693666310679</v>
      </c>
      <c r="E11" s="37"/>
      <c r="F11" s="38"/>
      <c r="G11" s="39"/>
    </row>
    <row r="12" spans="1:7" x14ac:dyDescent="0.2">
      <c r="A12" s="37" t="s">
        <v>113</v>
      </c>
      <c r="B12" s="38">
        <f>B10*C21</f>
        <v>11244.248828188134</v>
      </c>
      <c r="C12" s="39">
        <f>C10*C22</f>
        <v>9865.9837344943717</v>
      </c>
      <c r="E12" s="37" t="s">
        <v>90</v>
      </c>
      <c r="F12" s="38">
        <f>SUM(F6:F10)</f>
        <v>79463</v>
      </c>
      <c r="G12" s="39">
        <f>SUM(G6:G10)</f>
        <v>78257</v>
      </c>
    </row>
    <row r="13" spans="1:7" x14ac:dyDescent="0.2">
      <c r="A13" s="125" t="s">
        <v>124</v>
      </c>
      <c r="B13" s="126">
        <f>B10*C24</f>
        <v>987.41191207370275</v>
      </c>
      <c r="C13" s="127">
        <f>C10*C24</f>
        <v>1003.7160108436703</v>
      </c>
      <c r="E13" s="37"/>
      <c r="G13" s="42"/>
    </row>
    <row r="14" spans="1:7" ht="12" x14ac:dyDescent="0.25">
      <c r="A14" s="125" t="s">
        <v>0</v>
      </c>
      <c r="B14" s="128">
        <f>C23</f>
        <v>5285</v>
      </c>
      <c r="C14" s="129">
        <f>C23</f>
        <v>5285</v>
      </c>
      <c r="E14" s="134" t="s">
        <v>105</v>
      </c>
      <c r="F14" s="135">
        <f>(SUM((F7:F10))/F6)</f>
        <v>0.32438333333333336</v>
      </c>
      <c r="G14" s="136">
        <f>(SUM((G7:G10))/G6)</f>
        <v>0.30428333333333335</v>
      </c>
    </row>
    <row r="15" spans="1:7" x14ac:dyDescent="0.2">
      <c r="A15" s="130" t="s">
        <v>13</v>
      </c>
      <c r="B15" s="131">
        <f>SUM(B10:B14)</f>
        <v>99915.802085016956</v>
      </c>
      <c r="C15" s="132">
        <f>SUM(C10:C14)</f>
        <v>99914.411813028812</v>
      </c>
    </row>
    <row r="16" spans="1:7" x14ac:dyDescent="0.2">
      <c r="B16" s="40"/>
    </row>
    <row r="17" spans="1:4" ht="13.2" x14ac:dyDescent="0.25">
      <c r="A17" s="138" t="s">
        <v>122</v>
      </c>
      <c r="B17" s="139"/>
      <c r="C17" s="140"/>
    </row>
    <row r="18" spans="1:4" ht="12" x14ac:dyDescent="0.25">
      <c r="A18" s="141"/>
      <c r="B18" s="142"/>
      <c r="C18" s="143"/>
    </row>
    <row r="19" spans="1:4" ht="12" x14ac:dyDescent="0.25">
      <c r="A19" s="144" t="s">
        <v>1</v>
      </c>
      <c r="B19" s="145" t="s">
        <v>2</v>
      </c>
      <c r="C19" s="146" t="s">
        <v>3</v>
      </c>
    </row>
    <row r="20" spans="1:4" x14ac:dyDescent="0.2">
      <c r="A20" s="147" t="s">
        <v>4</v>
      </c>
      <c r="B20" s="148">
        <v>919150</v>
      </c>
      <c r="C20" s="161">
        <v>7.6499999999999999E-2</v>
      </c>
    </row>
    <row r="21" spans="1:4" x14ac:dyDescent="0.2">
      <c r="A21" s="147" t="s">
        <v>57</v>
      </c>
      <c r="B21" s="148">
        <v>919050</v>
      </c>
      <c r="C21" s="161">
        <v>0.1469</v>
      </c>
    </row>
    <row r="22" spans="1:4" x14ac:dyDescent="0.2">
      <c r="A22" s="147" t="s">
        <v>7</v>
      </c>
      <c r="B22" s="148">
        <v>918000</v>
      </c>
      <c r="C22" s="161">
        <v>0.1268</v>
      </c>
      <c r="D22" s="32" t="s">
        <v>22</v>
      </c>
    </row>
    <row r="23" spans="1:4" x14ac:dyDescent="0.2">
      <c r="A23" s="147" t="s">
        <v>6</v>
      </c>
      <c r="B23" s="148">
        <v>917000</v>
      </c>
      <c r="C23" s="149">
        <v>5285</v>
      </c>
    </row>
    <row r="24" spans="1:4" x14ac:dyDescent="0.2">
      <c r="A24" s="88" t="s">
        <v>121</v>
      </c>
      <c r="B24" s="137">
        <v>919700</v>
      </c>
      <c r="C24" s="162">
        <v>1.29E-2</v>
      </c>
    </row>
    <row r="25" spans="1:4" x14ac:dyDescent="0.2">
      <c r="A25" s="147"/>
      <c r="B25" s="148"/>
      <c r="C25" s="152"/>
    </row>
    <row r="26" spans="1:4" x14ac:dyDescent="0.2">
      <c r="A26" s="147" t="s">
        <v>97</v>
      </c>
      <c r="B26" s="163">
        <f>SUM(C20+C21+C24)</f>
        <v>0.23629999999999998</v>
      </c>
      <c r="C26" s="143"/>
    </row>
    <row r="27" spans="1:4" x14ac:dyDescent="0.2">
      <c r="A27" s="150" t="s">
        <v>98</v>
      </c>
      <c r="B27" s="164">
        <f>C20+C22+C24</f>
        <v>0.21619999999999998</v>
      </c>
      <c r="C27" s="151"/>
    </row>
    <row r="30" spans="1:4" x14ac:dyDescent="0.2">
      <c r="A30" s="32" t="s">
        <v>125</v>
      </c>
    </row>
  </sheetData>
  <pageMargins left="0.75" right="0.75" top="1" bottom="1" header="0.5" footer="0.5"/>
  <pageSetup scale="85" orientation="landscape" cellComments="asDisplayed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G29"/>
  <sheetViews>
    <sheetView workbookViewId="0"/>
  </sheetViews>
  <sheetFormatPr defaultColWidth="9.109375" defaultRowHeight="11.4" x14ac:dyDescent="0.2"/>
  <cols>
    <col min="1" max="1" width="49.44140625" style="32" customWidth="1"/>
    <col min="2" max="3" width="11.109375" style="32" customWidth="1"/>
    <col min="4" max="4" width="3.44140625" style="32" customWidth="1"/>
    <col min="5" max="5" width="43.5546875" style="32" customWidth="1"/>
    <col min="6" max="6" width="11.44140625" style="32" customWidth="1"/>
    <col min="7" max="7" width="12.5546875" style="32" customWidth="1"/>
    <col min="8" max="16384" width="9.109375" style="32"/>
  </cols>
  <sheetData>
    <row r="1" spans="1:7" ht="17.399999999999999" x14ac:dyDescent="0.3">
      <c r="A1" s="78" t="s">
        <v>106</v>
      </c>
    </row>
    <row r="3" spans="1:7" x14ac:dyDescent="0.2">
      <c r="A3" s="33" t="s">
        <v>20</v>
      </c>
      <c r="E3" s="33" t="s">
        <v>21</v>
      </c>
    </row>
    <row r="4" spans="1:7" ht="12" x14ac:dyDescent="0.25">
      <c r="A4" s="34"/>
      <c r="B4" s="35" t="s">
        <v>10</v>
      </c>
      <c r="C4" s="36" t="s">
        <v>11</v>
      </c>
      <c r="E4" s="34"/>
      <c r="F4" s="35" t="s">
        <v>10</v>
      </c>
      <c r="G4" s="36" t="s">
        <v>11</v>
      </c>
    </row>
    <row r="5" spans="1:7" x14ac:dyDescent="0.2">
      <c r="A5" s="37" t="s">
        <v>72</v>
      </c>
      <c r="B5" s="38">
        <v>100000</v>
      </c>
      <c r="C5" s="39">
        <v>100000</v>
      </c>
      <c r="E5" s="37" t="s">
        <v>73</v>
      </c>
      <c r="F5" s="38">
        <v>50000</v>
      </c>
      <c r="G5" s="39">
        <v>50000</v>
      </c>
    </row>
    <row r="6" spans="1:7" x14ac:dyDescent="0.2">
      <c r="A6" s="37" t="s">
        <v>91</v>
      </c>
      <c r="B6" s="40">
        <v>-5192</v>
      </c>
      <c r="C6" s="41">
        <v>-5192</v>
      </c>
      <c r="E6" s="37" t="s">
        <v>77</v>
      </c>
      <c r="F6" s="38">
        <f>F5*0.0765</f>
        <v>3825</v>
      </c>
      <c r="G6" s="39">
        <f>G5*0.0765</f>
        <v>3825</v>
      </c>
    </row>
    <row r="7" spans="1:7" x14ac:dyDescent="0.2">
      <c r="A7" s="37" t="s">
        <v>12</v>
      </c>
      <c r="B7" s="38">
        <f>SUM(B5:B6)</f>
        <v>94808</v>
      </c>
      <c r="C7" s="39">
        <f>SUM(C5:C6)</f>
        <v>94808</v>
      </c>
      <c r="E7" s="37" t="s">
        <v>108</v>
      </c>
      <c r="F7" s="38">
        <f>F5*0.1423</f>
        <v>7115.0000000000009</v>
      </c>
      <c r="G7" s="39">
        <f>G5*0.1258</f>
        <v>6290</v>
      </c>
    </row>
    <row r="8" spans="1:7" x14ac:dyDescent="0.2">
      <c r="A8" s="37"/>
      <c r="B8" s="38"/>
      <c r="C8" s="39"/>
      <c r="E8" s="37" t="s">
        <v>0</v>
      </c>
      <c r="F8" s="40">
        <v>5192</v>
      </c>
      <c r="G8" s="41">
        <v>5192</v>
      </c>
    </row>
    <row r="9" spans="1:7" x14ac:dyDescent="0.2">
      <c r="A9" s="37" t="s">
        <v>76</v>
      </c>
      <c r="B9" s="38">
        <f>B7/1.2188</f>
        <v>77787.988185100097</v>
      </c>
      <c r="C9" s="39">
        <f>C7/1.2023</f>
        <v>78855.526906762039</v>
      </c>
      <c r="E9" s="37"/>
      <c r="F9" s="38"/>
      <c r="G9" s="39"/>
    </row>
    <row r="10" spans="1:7" x14ac:dyDescent="0.2">
      <c r="A10" s="37" t="s">
        <v>77</v>
      </c>
      <c r="B10" s="38">
        <f>B9*0.0765</f>
        <v>5950.7810961601572</v>
      </c>
      <c r="C10" s="39">
        <f>C9*0.0765</f>
        <v>6032.4478083672957</v>
      </c>
      <c r="E10" s="37" t="s">
        <v>90</v>
      </c>
      <c r="F10" s="38">
        <f>SUM(F5:F8)</f>
        <v>66132</v>
      </c>
      <c r="G10" s="39">
        <f>SUM(G5:G8)</f>
        <v>65307</v>
      </c>
    </row>
    <row r="11" spans="1:7" x14ac:dyDescent="0.2">
      <c r="A11" s="37" t="s">
        <v>108</v>
      </c>
      <c r="B11" s="38">
        <f>B9*0.1423</f>
        <v>11069.230718739745</v>
      </c>
      <c r="C11" s="39">
        <f>C9*0.1258</f>
        <v>9920.0252848706641</v>
      </c>
      <c r="E11" s="37"/>
      <c r="G11" s="42"/>
    </row>
    <row r="12" spans="1:7" x14ac:dyDescent="0.2">
      <c r="A12" s="37" t="s">
        <v>0</v>
      </c>
      <c r="B12" s="40">
        <v>5192</v>
      </c>
      <c r="C12" s="41">
        <v>5192</v>
      </c>
      <c r="E12" s="37"/>
      <c r="G12" s="42"/>
    </row>
    <row r="13" spans="1:7" x14ac:dyDescent="0.2">
      <c r="A13" s="43" t="s">
        <v>13</v>
      </c>
      <c r="B13" s="44">
        <f>SUM(B9:B12)</f>
        <v>100000</v>
      </c>
      <c r="C13" s="45">
        <f>SUM(C9:C12)</f>
        <v>100000</v>
      </c>
      <c r="E13" s="43"/>
      <c r="F13" s="46"/>
      <c r="G13" s="47"/>
    </row>
    <row r="15" spans="1:7" x14ac:dyDescent="0.2">
      <c r="B15" s="40"/>
    </row>
    <row r="16" spans="1:7" ht="13.2" x14ac:dyDescent="0.25">
      <c r="A16" s="105" t="s">
        <v>92</v>
      </c>
      <c r="B16" s="104"/>
      <c r="C16" s="103"/>
      <c r="E16" s="106" t="s">
        <v>93</v>
      </c>
      <c r="F16"/>
      <c r="G16"/>
    </row>
    <row r="17" spans="1:7" ht="12" x14ac:dyDescent="0.25">
      <c r="A17" s="102"/>
      <c r="B17" s="101"/>
      <c r="C17" s="108"/>
      <c r="E17" s="34"/>
      <c r="F17" s="35" t="s">
        <v>10</v>
      </c>
      <c r="G17" s="36" t="s">
        <v>11</v>
      </c>
    </row>
    <row r="18" spans="1:7" ht="12" x14ac:dyDescent="0.25">
      <c r="A18" s="109" t="s">
        <v>1</v>
      </c>
      <c r="B18" s="118" t="s">
        <v>2</v>
      </c>
      <c r="C18" s="110" t="s">
        <v>3</v>
      </c>
      <c r="E18" s="37" t="s">
        <v>73</v>
      </c>
      <c r="F18" s="38">
        <v>50000</v>
      </c>
      <c r="G18" s="107">
        <v>50000</v>
      </c>
    </row>
    <row r="19" spans="1:7" x14ac:dyDescent="0.2">
      <c r="A19" s="111" t="s">
        <v>4</v>
      </c>
      <c r="B19" s="117">
        <v>919150</v>
      </c>
      <c r="C19" s="108">
        <v>7.65</v>
      </c>
      <c r="E19" s="37" t="s">
        <v>94</v>
      </c>
      <c r="F19" s="38">
        <f>F18*0.0765</f>
        <v>3825</v>
      </c>
      <c r="G19" s="107">
        <f>G18*0.0765</f>
        <v>3825</v>
      </c>
    </row>
    <row r="20" spans="1:7" x14ac:dyDescent="0.2">
      <c r="A20" s="111" t="s">
        <v>57</v>
      </c>
      <c r="B20" s="117">
        <v>919050</v>
      </c>
      <c r="C20" s="108">
        <v>14.23</v>
      </c>
      <c r="E20" s="37" t="s">
        <v>109</v>
      </c>
      <c r="F20" s="38">
        <f>F18*0.1923</f>
        <v>9615</v>
      </c>
      <c r="G20" s="107">
        <f>G18*0.1923</f>
        <v>9615</v>
      </c>
    </row>
    <row r="21" spans="1:7" x14ac:dyDescent="0.2">
      <c r="A21" s="111" t="s">
        <v>7</v>
      </c>
      <c r="B21" s="117">
        <v>918000</v>
      </c>
      <c r="C21" s="108">
        <v>12.58</v>
      </c>
      <c r="E21" s="37" t="s">
        <v>0</v>
      </c>
      <c r="F21" s="40">
        <v>5192</v>
      </c>
      <c r="G21" s="100">
        <v>5192</v>
      </c>
    </row>
    <row r="22" spans="1:7" x14ac:dyDescent="0.2">
      <c r="A22" s="111" t="s">
        <v>86</v>
      </c>
      <c r="B22" s="117">
        <v>919100</v>
      </c>
      <c r="C22" s="108">
        <v>19.23</v>
      </c>
      <c r="E22" s="37" t="s">
        <v>95</v>
      </c>
      <c r="F22" s="38">
        <f>SUM(F18:F21)</f>
        <v>68632</v>
      </c>
      <c r="G22" s="107">
        <f>SUM(G18:G21)</f>
        <v>68632</v>
      </c>
    </row>
    <row r="23" spans="1:7" x14ac:dyDescent="0.2">
      <c r="A23" s="111" t="s">
        <v>6</v>
      </c>
      <c r="B23" s="117">
        <v>917000</v>
      </c>
      <c r="C23" s="112">
        <v>5192</v>
      </c>
      <c r="D23" s="32" t="s">
        <v>22</v>
      </c>
      <c r="E23" s="37"/>
      <c r="F23" s="38"/>
      <c r="G23" s="42"/>
    </row>
    <row r="24" spans="1:7" x14ac:dyDescent="0.2">
      <c r="A24" s="111"/>
      <c r="B24" s="101"/>
      <c r="C24" s="108"/>
      <c r="E24" s="43"/>
      <c r="F24" s="46"/>
      <c r="G24" s="47"/>
    </row>
    <row r="25" spans="1:7" x14ac:dyDescent="0.2">
      <c r="A25" s="111" t="s">
        <v>9</v>
      </c>
      <c r="B25" s="113">
        <f>C19+C20</f>
        <v>21.880000000000003</v>
      </c>
      <c r="C25" s="108"/>
    </row>
    <row r="26" spans="1:7" x14ac:dyDescent="0.2">
      <c r="A26" s="114" t="s">
        <v>8</v>
      </c>
      <c r="B26" s="115">
        <f>C19+C21</f>
        <v>20.23</v>
      </c>
      <c r="C26" s="116"/>
    </row>
    <row r="29" spans="1:7" x14ac:dyDescent="0.2">
      <c r="A29" s="32" t="s">
        <v>107</v>
      </c>
    </row>
  </sheetData>
  <pageMargins left="0.75" right="0.75" top="1" bottom="1" header="0.5" footer="0.5"/>
  <pageSetup scale="85" orientation="landscape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39997558519241921"/>
  </sheetPr>
  <dimension ref="A1:G32"/>
  <sheetViews>
    <sheetView workbookViewId="0"/>
  </sheetViews>
  <sheetFormatPr defaultColWidth="9.109375" defaultRowHeight="11.4" x14ac:dyDescent="0.2"/>
  <cols>
    <col min="1" max="1" width="55.5546875" style="32" customWidth="1"/>
    <col min="2" max="2" width="9.5546875" style="32" bestFit="1" customWidth="1"/>
    <col min="3" max="3" width="9" style="32" bestFit="1" customWidth="1"/>
    <col min="4" max="4" width="3.44140625" style="32" customWidth="1"/>
    <col min="5" max="5" width="53.44140625" style="32" customWidth="1"/>
    <col min="6" max="6" width="9.88671875" style="32" customWidth="1"/>
    <col min="7" max="7" width="9.5546875" style="32" customWidth="1"/>
    <col min="8" max="16384" width="9.109375" style="32"/>
  </cols>
  <sheetData>
    <row r="1" spans="1:7" ht="17.399999999999999" x14ac:dyDescent="0.3">
      <c r="A1" s="78" t="s">
        <v>216</v>
      </c>
    </row>
    <row r="3" spans="1:7" x14ac:dyDescent="0.2">
      <c r="A3" s="33"/>
    </row>
    <row r="4" spans="1:7" ht="13.2" x14ac:dyDescent="0.25">
      <c r="A4" s="121" t="s">
        <v>20</v>
      </c>
      <c r="B4" s="120"/>
      <c r="C4" s="120"/>
      <c r="E4" s="33" t="s">
        <v>21</v>
      </c>
    </row>
    <row r="5" spans="1:7" ht="12" x14ac:dyDescent="0.25">
      <c r="A5" s="122"/>
      <c r="B5" s="123" t="s">
        <v>220</v>
      </c>
      <c r="C5" s="124" t="s">
        <v>222</v>
      </c>
      <c r="E5" s="34"/>
      <c r="F5" s="35" t="s">
        <v>220</v>
      </c>
      <c r="G5" s="36" t="s">
        <v>222</v>
      </c>
    </row>
    <row r="6" spans="1:7" x14ac:dyDescent="0.2">
      <c r="A6" s="125" t="s">
        <v>72</v>
      </c>
      <c r="B6" s="126">
        <v>100000</v>
      </c>
      <c r="C6" s="127">
        <v>100000</v>
      </c>
      <c r="E6" s="37" t="s">
        <v>73</v>
      </c>
      <c r="F6" s="38">
        <v>100000</v>
      </c>
      <c r="G6" s="39">
        <v>100000</v>
      </c>
    </row>
    <row r="7" spans="1:7" x14ac:dyDescent="0.2">
      <c r="A7" s="125" t="s">
        <v>214</v>
      </c>
      <c r="B7" s="128">
        <f>-C23</f>
        <v>-5659</v>
      </c>
      <c r="C7" s="129">
        <f>-C23</f>
        <v>-5659</v>
      </c>
      <c r="E7" s="125" t="s">
        <v>102</v>
      </c>
      <c r="F7" s="38">
        <f>F6*C20</f>
        <v>7650</v>
      </c>
      <c r="G7" s="39">
        <f>G6*C20</f>
        <v>7650</v>
      </c>
    </row>
    <row r="8" spans="1:7" x14ac:dyDescent="0.2">
      <c r="A8" s="125" t="s">
        <v>12</v>
      </c>
      <c r="B8" s="126">
        <f>SUM(B6:B7)</f>
        <v>94341</v>
      </c>
      <c r="C8" s="127">
        <f>SUM(C6:C7)</f>
        <v>94341</v>
      </c>
      <c r="E8" s="37" t="str">
        <f>' FY 16-17 GF Calculator '!A11</f>
        <v>Retirement (Salary x .1633 for SHRA or .1303 for EHRA)</v>
      </c>
      <c r="F8" s="38">
        <f>F6*C21</f>
        <v>16330</v>
      </c>
      <c r="G8" s="39">
        <f>G6*C22</f>
        <v>13030</v>
      </c>
    </row>
    <row r="9" spans="1:7" x14ac:dyDescent="0.2">
      <c r="A9" s="125"/>
      <c r="B9" s="126"/>
      <c r="C9" s="127"/>
      <c r="E9" s="125" t="s">
        <v>225</v>
      </c>
      <c r="F9" s="38">
        <f>F6*C24</f>
        <v>5200</v>
      </c>
      <c r="G9" s="39">
        <f>G6*C24</f>
        <v>5200</v>
      </c>
    </row>
    <row r="10" spans="1:7" x14ac:dyDescent="0.2">
      <c r="A10" s="125" t="s">
        <v>101</v>
      </c>
      <c r="B10" s="126">
        <f>B8/1.2918</f>
        <v>73030.654900139343</v>
      </c>
      <c r="C10" s="127">
        <f>C8/1.2588</f>
        <v>74945.185891325076</v>
      </c>
      <c r="E10" s="37" t="s">
        <v>0</v>
      </c>
      <c r="F10" s="40">
        <f>C23</f>
        <v>5659</v>
      </c>
      <c r="G10" s="41">
        <f>C23</f>
        <v>5659</v>
      </c>
    </row>
    <row r="11" spans="1:7" x14ac:dyDescent="0.2">
      <c r="A11" s="125" t="s">
        <v>102</v>
      </c>
      <c r="B11" s="126">
        <f>B10*C20</f>
        <v>5586.8450998606595</v>
      </c>
      <c r="C11" s="127">
        <f>C10*C20</f>
        <v>5733.306720686368</v>
      </c>
      <c r="E11" s="37"/>
      <c r="F11" s="38"/>
      <c r="G11" s="39"/>
    </row>
    <row r="12" spans="1:7" x14ac:dyDescent="0.2">
      <c r="A12" s="37" t="str">
        <f>' FY 16-17 GF Calculator '!A11</f>
        <v>Retirement (Salary x .1633 for SHRA or .1303 for EHRA)</v>
      </c>
      <c r="B12" s="38">
        <f>B10*C21</f>
        <v>11925.905945192755</v>
      </c>
      <c r="C12" s="39">
        <f>C10*C22</f>
        <v>9765.357721639657</v>
      </c>
      <c r="E12" s="37" t="s">
        <v>90</v>
      </c>
      <c r="F12" s="38">
        <f>SUM(F6:F10)</f>
        <v>134839</v>
      </c>
      <c r="G12" s="39">
        <f>SUM(G6:G10)</f>
        <v>131539</v>
      </c>
    </row>
    <row r="13" spans="1:7" x14ac:dyDescent="0.2">
      <c r="A13" s="125" t="s">
        <v>225</v>
      </c>
      <c r="B13" s="126">
        <f>B10*C24</f>
        <v>3797.5940548072458</v>
      </c>
      <c r="C13" s="127">
        <f>C10*C24</f>
        <v>3897.1496663489038</v>
      </c>
      <c r="E13" s="37"/>
      <c r="G13" s="42"/>
    </row>
    <row r="14" spans="1:7" ht="12" x14ac:dyDescent="0.25">
      <c r="A14" s="125" t="s">
        <v>0</v>
      </c>
      <c r="B14" s="128">
        <f>C23</f>
        <v>5659</v>
      </c>
      <c r="C14" s="129">
        <f>C23</f>
        <v>5659</v>
      </c>
      <c r="E14" s="255" t="s">
        <v>105</v>
      </c>
      <c r="F14" s="256">
        <f>(SUM((F7:F10))/F6)</f>
        <v>0.34838999999999998</v>
      </c>
      <c r="G14" s="257">
        <f>(SUM((G7:G10))/G6)</f>
        <v>0.31539</v>
      </c>
    </row>
    <row r="15" spans="1:7" x14ac:dyDescent="0.2">
      <c r="A15" s="130" t="s">
        <v>13</v>
      </c>
      <c r="B15" s="131">
        <f>SUM(B10:B14)</f>
        <v>100000</v>
      </c>
      <c r="C15" s="132">
        <f>SUM(C10:C14)</f>
        <v>100000</v>
      </c>
    </row>
    <row r="16" spans="1:7" x14ac:dyDescent="0.2">
      <c r="B16" s="40"/>
    </row>
    <row r="17" spans="1:4" ht="13.2" x14ac:dyDescent="0.25">
      <c r="A17" s="220" t="s">
        <v>213</v>
      </c>
      <c r="B17" s="139"/>
      <c r="C17" s="140"/>
    </row>
    <row r="18" spans="1:4" ht="12" x14ac:dyDescent="0.25">
      <c r="A18" s="141"/>
      <c r="B18" s="142"/>
      <c r="C18" s="143"/>
    </row>
    <row r="19" spans="1:4" ht="12" x14ac:dyDescent="0.25">
      <c r="A19" s="144" t="s">
        <v>1</v>
      </c>
      <c r="B19" s="145" t="s">
        <v>2</v>
      </c>
      <c r="C19" s="146" t="s">
        <v>3</v>
      </c>
    </row>
    <row r="20" spans="1:4" x14ac:dyDescent="0.2">
      <c r="A20" s="147" t="s">
        <v>4</v>
      </c>
      <c r="B20" s="148">
        <v>919150</v>
      </c>
      <c r="C20" s="161">
        <f>' FY 16-17 GF Calculator '!C18</f>
        <v>7.6499999999999999E-2</v>
      </c>
    </row>
    <row r="21" spans="1:4" x14ac:dyDescent="0.2">
      <c r="A21" s="147" t="s">
        <v>57</v>
      </c>
      <c r="B21" s="148">
        <v>919050</v>
      </c>
      <c r="C21" s="161">
        <f>' FY 16-17 GF Calculator '!C19</f>
        <v>0.1633</v>
      </c>
    </row>
    <row r="22" spans="1:4" x14ac:dyDescent="0.2">
      <c r="A22" s="147" t="s">
        <v>7</v>
      </c>
      <c r="B22" s="148">
        <v>918000</v>
      </c>
      <c r="C22" s="161">
        <f>' FY 16-17 GF Calculator '!C20</f>
        <v>0.1303</v>
      </c>
    </row>
    <row r="23" spans="1:4" x14ac:dyDescent="0.2">
      <c r="A23" s="147" t="s">
        <v>6</v>
      </c>
      <c r="B23" s="148">
        <v>917000</v>
      </c>
      <c r="C23" s="112">
        <v>5659</v>
      </c>
      <c r="D23" s="32" t="s">
        <v>22</v>
      </c>
    </row>
    <row r="24" spans="1:4" x14ac:dyDescent="0.2">
      <c r="A24" s="261" t="s">
        <v>226</v>
      </c>
      <c r="B24" s="137">
        <v>919700</v>
      </c>
      <c r="C24" s="162">
        <v>5.1999999999999998E-2</v>
      </c>
    </row>
    <row r="25" spans="1:4" x14ac:dyDescent="0.2">
      <c r="A25" s="147"/>
      <c r="B25" s="148"/>
      <c r="C25" s="152"/>
    </row>
    <row r="26" spans="1:4" x14ac:dyDescent="0.2">
      <c r="A26" s="147" t="s">
        <v>224</v>
      </c>
      <c r="B26" s="163">
        <f>SUM(C20+C21+C24)</f>
        <v>0.2918</v>
      </c>
      <c r="C26" s="143"/>
    </row>
    <row r="27" spans="1:4" x14ac:dyDescent="0.2">
      <c r="A27" s="150" t="s">
        <v>227</v>
      </c>
      <c r="B27" s="164">
        <f>C20+C22+C24</f>
        <v>0.25879999999999997</v>
      </c>
      <c r="C27" s="151"/>
    </row>
    <row r="29" spans="1:4" x14ac:dyDescent="0.2">
      <c r="A29" s="32" t="str">
        <f>' FY 16-17 GF Calculator '!A28</f>
        <v>Updated: 11/21/16</v>
      </c>
    </row>
    <row r="31" spans="1:4" x14ac:dyDescent="0.2">
      <c r="A31" s="32" t="s">
        <v>218</v>
      </c>
    </row>
    <row r="32" spans="1:4" ht="26.4" x14ac:dyDescent="0.25">
      <c r="A32" s="259" t="s">
        <v>219</v>
      </c>
    </row>
  </sheetData>
  <hyperlinks>
    <hyperlink ref="A32" r:id="rId1" xr:uid="{00000000-0004-0000-0200-000000000000}"/>
  </hyperlinks>
  <printOptions horizontalCentered="1"/>
  <pageMargins left="0.1" right="0.1" top="1" bottom="1" header="0.5" footer="0.5"/>
  <pageSetup scale="85" orientation="landscape" cellComments="asDisplayed" r:id="rId2"/>
  <headerFooter alignWithMargins="0">
    <oddFooter>&amp;L&amp;Z&amp;F</oddFooter>
  </headerFooter>
  <drawing r:id="rId3"/>
  <legacyDrawing r:id="rId4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/>
  <dimension ref="A1:G31"/>
  <sheetViews>
    <sheetView workbookViewId="0"/>
  </sheetViews>
  <sheetFormatPr defaultColWidth="9.109375" defaultRowHeight="11.4" x14ac:dyDescent="0.2"/>
  <cols>
    <col min="1" max="1" width="50.44140625" style="32" customWidth="1"/>
    <col min="2" max="2" width="9.5546875" style="32" bestFit="1" customWidth="1"/>
    <col min="3" max="3" width="7.5546875" style="32" bestFit="1" customWidth="1"/>
    <col min="4" max="4" width="3.44140625" style="32" customWidth="1"/>
    <col min="5" max="5" width="51.44140625" style="32" bestFit="1" customWidth="1"/>
    <col min="6" max="6" width="9.88671875" style="32" customWidth="1"/>
    <col min="7" max="7" width="9.5546875" style="32" customWidth="1"/>
    <col min="8" max="16384" width="9.109375" style="32"/>
  </cols>
  <sheetData>
    <row r="1" spans="1:7" ht="17.399999999999999" x14ac:dyDescent="0.3">
      <c r="A1" s="78" t="s">
        <v>103</v>
      </c>
    </row>
    <row r="3" spans="1:7" x14ac:dyDescent="0.2">
      <c r="A3" s="33"/>
    </row>
    <row r="4" spans="1:7" ht="13.2" x14ac:dyDescent="0.25">
      <c r="A4" s="121" t="s">
        <v>20</v>
      </c>
      <c r="B4" s="120"/>
      <c r="C4" s="120"/>
      <c r="E4" s="33" t="s">
        <v>21</v>
      </c>
    </row>
    <row r="5" spans="1:7" ht="12" x14ac:dyDescent="0.25">
      <c r="A5" s="122"/>
      <c r="B5" s="123" t="s">
        <v>10</v>
      </c>
      <c r="C5" s="124" t="s">
        <v>11</v>
      </c>
      <c r="E5" s="34"/>
      <c r="F5" s="35" t="s">
        <v>10</v>
      </c>
      <c r="G5" s="36" t="s">
        <v>11</v>
      </c>
    </row>
    <row r="6" spans="1:7" x14ac:dyDescent="0.2">
      <c r="A6" s="125" t="s">
        <v>72</v>
      </c>
      <c r="B6" s="126">
        <v>100000</v>
      </c>
      <c r="C6" s="127">
        <v>100000</v>
      </c>
      <c r="E6" s="37" t="s">
        <v>73</v>
      </c>
      <c r="F6" s="38">
        <v>50000</v>
      </c>
      <c r="G6" s="39">
        <v>70000</v>
      </c>
    </row>
    <row r="7" spans="1:7" x14ac:dyDescent="0.2">
      <c r="A7" s="125" t="s">
        <v>100</v>
      </c>
      <c r="B7" s="128">
        <v>-5192</v>
      </c>
      <c r="C7" s="129">
        <v>-5192</v>
      </c>
      <c r="E7" s="125" t="s">
        <v>102</v>
      </c>
      <c r="F7" s="38">
        <f>F6*0.0765</f>
        <v>3825</v>
      </c>
      <c r="G7" s="39">
        <f>G6*0.0765</f>
        <v>5355</v>
      </c>
    </row>
    <row r="8" spans="1:7" x14ac:dyDescent="0.2">
      <c r="A8" s="125" t="s">
        <v>12</v>
      </c>
      <c r="B8" s="126">
        <v>94808</v>
      </c>
      <c r="C8" s="127">
        <v>94808</v>
      </c>
      <c r="E8" s="37" t="s">
        <v>108</v>
      </c>
      <c r="F8" s="38">
        <f>F6*0.1423</f>
        <v>7115.0000000000009</v>
      </c>
      <c r="G8" s="39">
        <f>G6*0.1258</f>
        <v>8806</v>
      </c>
    </row>
    <row r="9" spans="1:7" x14ac:dyDescent="0.2">
      <c r="A9" s="125"/>
      <c r="B9" s="126"/>
      <c r="C9" s="127"/>
      <c r="E9" s="125" t="s">
        <v>104</v>
      </c>
      <c r="F9" s="38">
        <f>F6*0.015</f>
        <v>750</v>
      </c>
      <c r="G9" s="39">
        <f>G6*0.015</f>
        <v>1050</v>
      </c>
    </row>
    <row r="10" spans="1:7" x14ac:dyDescent="0.2">
      <c r="A10" s="125" t="s">
        <v>101</v>
      </c>
      <c r="B10" s="126">
        <f>B8/1.2338</f>
        <v>76842.275895607061</v>
      </c>
      <c r="C10" s="127">
        <f>C8/1.2173</f>
        <v>77883.841288096606</v>
      </c>
      <c r="E10" s="37" t="s">
        <v>0</v>
      </c>
      <c r="F10" s="40">
        <v>5192</v>
      </c>
      <c r="G10" s="41">
        <v>5192</v>
      </c>
    </row>
    <row r="11" spans="1:7" x14ac:dyDescent="0.2">
      <c r="A11" s="125" t="s">
        <v>102</v>
      </c>
      <c r="B11" s="126">
        <f>B10*0.0765</f>
        <v>5878.4341060139404</v>
      </c>
      <c r="C11" s="127">
        <f>C10*0.0765</f>
        <v>5958.1138585393901</v>
      </c>
      <c r="E11" s="37"/>
      <c r="F11" s="38"/>
      <c r="G11" s="39"/>
    </row>
    <row r="12" spans="1:7" x14ac:dyDescent="0.2">
      <c r="A12" s="37" t="s">
        <v>108</v>
      </c>
      <c r="B12" s="38">
        <f>B10*0.1423</f>
        <v>10934.655859944885</v>
      </c>
      <c r="C12" s="39">
        <f>C10*0.1258</f>
        <v>9797.7872340425529</v>
      </c>
      <c r="E12" s="37" t="s">
        <v>90</v>
      </c>
      <c r="F12" s="38">
        <f>SUM(F6:F10)</f>
        <v>66882</v>
      </c>
      <c r="G12" s="39">
        <f>SUM(G6:G10)</f>
        <v>90403</v>
      </c>
    </row>
    <row r="13" spans="1:7" x14ac:dyDescent="0.2">
      <c r="A13" s="125" t="s">
        <v>104</v>
      </c>
      <c r="B13" s="126">
        <f>B10*0.015</f>
        <v>1152.6341384341058</v>
      </c>
      <c r="C13" s="127">
        <f>C10*0.015</f>
        <v>1168.2576193214491</v>
      </c>
      <c r="E13" s="37"/>
      <c r="G13" s="42"/>
    </row>
    <row r="14" spans="1:7" ht="12" x14ac:dyDescent="0.25">
      <c r="A14" s="125" t="s">
        <v>0</v>
      </c>
      <c r="B14" s="128">
        <v>5192</v>
      </c>
      <c r="C14" s="129">
        <v>5192</v>
      </c>
      <c r="E14" s="134" t="s">
        <v>105</v>
      </c>
      <c r="F14" s="135">
        <f>(SUM((F7:F10))/F6)</f>
        <v>0.33764</v>
      </c>
      <c r="G14" s="136">
        <f>(SUM((G7:G10))/G6)</f>
        <v>0.29147142857142855</v>
      </c>
    </row>
    <row r="15" spans="1:7" x14ac:dyDescent="0.2">
      <c r="A15" s="130" t="s">
        <v>13</v>
      </c>
      <c r="B15" s="131">
        <f>SUM(B10:B14)</f>
        <v>100000</v>
      </c>
      <c r="C15" s="132">
        <f>SUM(C10:C14)</f>
        <v>100000</v>
      </c>
    </row>
    <row r="16" spans="1:7" x14ac:dyDescent="0.2">
      <c r="B16" s="40"/>
    </row>
    <row r="17" spans="1:4" ht="13.2" x14ac:dyDescent="0.25">
      <c r="A17" s="105" t="s">
        <v>92</v>
      </c>
      <c r="B17" s="104"/>
      <c r="C17" s="103"/>
    </row>
    <row r="18" spans="1:4" ht="12" x14ac:dyDescent="0.25">
      <c r="A18" s="102"/>
      <c r="B18" s="101"/>
      <c r="C18" s="108"/>
    </row>
    <row r="19" spans="1:4" ht="12" x14ac:dyDescent="0.25">
      <c r="A19" s="109" t="s">
        <v>1</v>
      </c>
      <c r="B19" s="118" t="s">
        <v>2</v>
      </c>
      <c r="C19" s="110" t="s">
        <v>3</v>
      </c>
    </row>
    <row r="20" spans="1:4" x14ac:dyDescent="0.2">
      <c r="A20" s="111" t="s">
        <v>4</v>
      </c>
      <c r="B20" s="117">
        <v>919150</v>
      </c>
      <c r="C20" s="108">
        <v>7.65</v>
      </c>
    </row>
    <row r="21" spans="1:4" x14ac:dyDescent="0.2">
      <c r="A21" s="111" t="s">
        <v>57</v>
      </c>
      <c r="B21" s="117">
        <v>919050</v>
      </c>
      <c r="C21" s="108">
        <v>14.23</v>
      </c>
    </row>
    <row r="22" spans="1:4" x14ac:dyDescent="0.2">
      <c r="A22" s="111" t="s">
        <v>7</v>
      </c>
      <c r="B22" s="117">
        <v>918000</v>
      </c>
      <c r="C22" s="108">
        <v>12.58</v>
      </c>
      <c r="D22" s="32" t="s">
        <v>22</v>
      </c>
    </row>
    <row r="23" spans="1:4" x14ac:dyDescent="0.2">
      <c r="A23" s="111" t="s">
        <v>6</v>
      </c>
      <c r="B23" s="117">
        <v>917000</v>
      </c>
      <c r="C23" s="112">
        <v>5192</v>
      </c>
    </row>
    <row r="24" spans="1:4" x14ac:dyDescent="0.2">
      <c r="A24" s="88" t="s">
        <v>96</v>
      </c>
      <c r="B24" s="117">
        <v>919700</v>
      </c>
      <c r="C24" s="119">
        <v>1.5</v>
      </c>
    </row>
    <row r="25" spans="1:4" x14ac:dyDescent="0.2">
      <c r="A25" s="111"/>
      <c r="B25" s="117"/>
      <c r="C25" s="133"/>
    </row>
    <row r="26" spans="1:4" x14ac:dyDescent="0.2">
      <c r="A26" s="111" t="s">
        <v>97</v>
      </c>
      <c r="B26" s="113">
        <f>C20+C21+C24</f>
        <v>23.380000000000003</v>
      </c>
      <c r="C26" s="108"/>
    </row>
    <row r="27" spans="1:4" x14ac:dyDescent="0.2">
      <c r="A27" s="114" t="s">
        <v>98</v>
      </c>
      <c r="B27" s="115">
        <f>C20+C22+C24</f>
        <v>21.73</v>
      </c>
      <c r="C27" s="116"/>
    </row>
    <row r="30" spans="1:4" x14ac:dyDescent="0.2">
      <c r="A30" s="32" t="s">
        <v>110</v>
      </c>
    </row>
    <row r="31" spans="1:4" x14ac:dyDescent="0.2">
      <c r="A31" s="32" t="s">
        <v>99</v>
      </c>
    </row>
  </sheetData>
  <pageMargins left="0.75" right="0.75" top="1" bottom="1" header="0.5" footer="0.5"/>
  <pageSetup scale="85" orientation="landscape" cellComments="asDisplayed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/>
  <dimension ref="A1:G29"/>
  <sheetViews>
    <sheetView workbookViewId="0"/>
  </sheetViews>
  <sheetFormatPr defaultColWidth="9.109375" defaultRowHeight="11.4" x14ac:dyDescent="0.2"/>
  <cols>
    <col min="1" max="1" width="49.44140625" style="32" customWidth="1"/>
    <col min="2" max="3" width="11.109375" style="32" customWidth="1"/>
    <col min="4" max="4" width="3.44140625" style="32" customWidth="1"/>
    <col min="5" max="5" width="45.5546875" style="32" customWidth="1"/>
    <col min="6" max="6" width="11.44140625" style="32" customWidth="1"/>
    <col min="7" max="7" width="12.5546875" style="32" customWidth="1"/>
    <col min="8" max="16384" width="9.109375" style="32"/>
  </cols>
  <sheetData>
    <row r="1" spans="1:7" ht="17.399999999999999" x14ac:dyDescent="0.3">
      <c r="A1" s="78" t="s">
        <v>84</v>
      </c>
    </row>
    <row r="3" spans="1:7" x14ac:dyDescent="0.2">
      <c r="A3" s="33" t="s">
        <v>20</v>
      </c>
      <c r="E3" s="33" t="s">
        <v>21</v>
      </c>
    </row>
    <row r="4" spans="1:7" ht="12" x14ac:dyDescent="0.25">
      <c r="A4" s="34"/>
      <c r="B4" s="35" t="s">
        <v>10</v>
      </c>
      <c r="C4" s="36" t="s">
        <v>11</v>
      </c>
      <c r="E4" s="34"/>
      <c r="F4" s="35" t="s">
        <v>10</v>
      </c>
      <c r="G4" s="36" t="s">
        <v>11</v>
      </c>
    </row>
    <row r="5" spans="1:7" x14ac:dyDescent="0.2">
      <c r="A5" s="37" t="s">
        <v>72</v>
      </c>
      <c r="B5" s="38">
        <v>100000</v>
      </c>
      <c r="C5" s="39">
        <v>100000</v>
      </c>
      <c r="E5" s="37" t="s">
        <v>73</v>
      </c>
      <c r="F5" s="38">
        <v>50000</v>
      </c>
      <c r="G5" s="39">
        <v>50000</v>
      </c>
    </row>
    <row r="6" spans="1:7" x14ac:dyDescent="0.2">
      <c r="A6" s="37" t="s">
        <v>85</v>
      </c>
      <c r="B6" s="40">
        <v>-4931</v>
      </c>
      <c r="C6" s="41">
        <v>-4931</v>
      </c>
      <c r="E6" s="37" t="s">
        <v>77</v>
      </c>
      <c r="F6" s="38">
        <f>F5*0.0765</f>
        <v>3825</v>
      </c>
      <c r="G6" s="39">
        <f>G5*0.0765</f>
        <v>3825</v>
      </c>
    </row>
    <row r="7" spans="1:7" x14ac:dyDescent="0.2">
      <c r="A7" s="37" t="s">
        <v>12</v>
      </c>
      <c r="B7" s="38">
        <f>SUM(B5:B6)</f>
        <v>95069</v>
      </c>
      <c r="C7" s="39">
        <f>SUM(C5:C6)</f>
        <v>95069</v>
      </c>
      <c r="E7" s="37" t="s">
        <v>87</v>
      </c>
      <c r="F7" s="38">
        <f>F5*0.1312</f>
        <v>6560.0000000000009</v>
      </c>
      <c r="G7" s="39">
        <f>G5*0.1236</f>
        <v>6180</v>
      </c>
    </row>
    <row r="8" spans="1:7" x14ac:dyDescent="0.2">
      <c r="A8" s="37"/>
      <c r="B8" s="38"/>
      <c r="C8" s="39"/>
      <c r="E8" s="37" t="s">
        <v>0</v>
      </c>
      <c r="F8" s="40">
        <v>4931</v>
      </c>
      <c r="G8" s="41">
        <v>4931</v>
      </c>
    </row>
    <row r="9" spans="1:7" x14ac:dyDescent="0.2">
      <c r="A9" s="37" t="s">
        <v>76</v>
      </c>
      <c r="B9" s="38">
        <f>B7/1.2077</f>
        <v>78719.052744886969</v>
      </c>
      <c r="C9" s="39">
        <f>C7/1.2001</f>
        <v>79217.565202899757</v>
      </c>
      <c r="E9" s="37"/>
      <c r="F9" s="38"/>
      <c r="G9" s="39"/>
    </row>
    <row r="10" spans="1:7" x14ac:dyDescent="0.2">
      <c r="A10" s="37" t="s">
        <v>77</v>
      </c>
      <c r="B10" s="38">
        <f>B9*0.0765</f>
        <v>6022.0075349838526</v>
      </c>
      <c r="C10" s="39">
        <f>C9*0.0765</f>
        <v>6060.1437380218313</v>
      </c>
      <c r="E10" s="37" t="s">
        <v>90</v>
      </c>
      <c r="F10" s="38">
        <f>SUM(F5:F8)</f>
        <v>65316</v>
      </c>
      <c r="G10" s="39">
        <f>SUM(G5:G8)</f>
        <v>64936</v>
      </c>
    </row>
    <row r="11" spans="1:7" x14ac:dyDescent="0.2">
      <c r="A11" s="37" t="s">
        <v>87</v>
      </c>
      <c r="B11" s="38">
        <f>B9*0.1312</f>
        <v>10327.93972012917</v>
      </c>
      <c r="C11" s="39">
        <f>C9*0.1236</f>
        <v>9791.2910590784104</v>
      </c>
      <c r="E11" s="37"/>
      <c r="G11" s="42"/>
    </row>
    <row r="12" spans="1:7" x14ac:dyDescent="0.2">
      <c r="A12" s="37" t="s">
        <v>0</v>
      </c>
      <c r="B12" s="40">
        <v>4931</v>
      </c>
      <c r="C12" s="41">
        <v>4931</v>
      </c>
      <c r="E12" s="37"/>
      <c r="G12" s="42"/>
    </row>
    <row r="13" spans="1:7" x14ac:dyDescent="0.2">
      <c r="A13" s="43" t="s">
        <v>13</v>
      </c>
      <c r="B13" s="44">
        <f>SUM(B9:B12)</f>
        <v>100000</v>
      </c>
      <c r="C13" s="45">
        <f>SUM(C9:C12)</f>
        <v>100000</v>
      </c>
      <c r="E13" s="43"/>
      <c r="F13" s="46"/>
      <c r="G13" s="47"/>
    </row>
    <row r="15" spans="1:7" x14ac:dyDescent="0.2">
      <c r="B15" s="40"/>
    </row>
    <row r="16" spans="1:7" ht="13.2" x14ac:dyDescent="0.25">
      <c r="A16" s="79" t="s">
        <v>88</v>
      </c>
      <c r="B16" s="80"/>
      <c r="C16" s="81"/>
    </row>
    <row r="17" spans="1:4" ht="12" x14ac:dyDescent="0.25">
      <c r="A17" s="82"/>
      <c r="B17" s="83"/>
      <c r="C17" s="84"/>
    </row>
    <row r="18" spans="1:4" ht="12" x14ac:dyDescent="0.25">
      <c r="A18" s="85" t="s">
        <v>1</v>
      </c>
      <c r="B18" s="86" t="s">
        <v>2</v>
      </c>
      <c r="C18" s="87" t="s">
        <v>3</v>
      </c>
    </row>
    <row r="19" spans="1:4" x14ac:dyDescent="0.2">
      <c r="A19" s="88" t="s">
        <v>4</v>
      </c>
      <c r="B19" s="83">
        <v>919150</v>
      </c>
      <c r="C19" s="84">
        <v>7.65</v>
      </c>
    </row>
    <row r="20" spans="1:4" x14ac:dyDescent="0.2">
      <c r="A20" s="88" t="s">
        <v>57</v>
      </c>
      <c r="B20" s="83">
        <v>919050</v>
      </c>
      <c r="C20" s="84">
        <v>13.12</v>
      </c>
    </row>
    <row r="21" spans="1:4" x14ac:dyDescent="0.2">
      <c r="A21" s="88" t="s">
        <v>7</v>
      </c>
      <c r="B21" s="83">
        <v>918000</v>
      </c>
      <c r="C21" s="84">
        <v>12.36</v>
      </c>
    </row>
    <row r="22" spans="1:4" x14ac:dyDescent="0.2">
      <c r="A22" s="88" t="s">
        <v>86</v>
      </c>
      <c r="B22" s="83">
        <v>919100</v>
      </c>
      <c r="C22" s="84">
        <v>18.12</v>
      </c>
    </row>
    <row r="23" spans="1:4" x14ac:dyDescent="0.2">
      <c r="A23" s="88" t="s">
        <v>6</v>
      </c>
      <c r="B23" s="83">
        <v>917000</v>
      </c>
      <c r="C23" s="89">
        <v>4931</v>
      </c>
      <c r="D23" s="32" t="s">
        <v>22</v>
      </c>
    </row>
    <row r="24" spans="1:4" x14ac:dyDescent="0.2">
      <c r="A24" s="88"/>
      <c r="B24" s="83"/>
      <c r="C24" s="84"/>
    </row>
    <row r="25" spans="1:4" x14ac:dyDescent="0.2">
      <c r="A25" s="88" t="s">
        <v>9</v>
      </c>
      <c r="B25" s="92">
        <f>C19+C20</f>
        <v>20.77</v>
      </c>
      <c r="C25" s="84"/>
    </row>
    <row r="26" spans="1:4" x14ac:dyDescent="0.2">
      <c r="A26" s="90" t="s">
        <v>8</v>
      </c>
      <c r="B26" s="93">
        <f>C19+C21</f>
        <v>20.009999999999998</v>
      </c>
      <c r="C26" s="91"/>
    </row>
    <row r="29" spans="1:4" x14ac:dyDescent="0.2">
      <c r="A29" s="32" t="s">
        <v>89</v>
      </c>
    </row>
  </sheetData>
  <pageMargins left="0.75" right="0.75" top="1" bottom="1" header="0.5" footer="0.5"/>
  <pageSetup scale="85" orientation="landscape" cellComments="asDisplayed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9"/>
  <dimension ref="A1:G29"/>
  <sheetViews>
    <sheetView workbookViewId="0"/>
  </sheetViews>
  <sheetFormatPr defaultColWidth="9.109375" defaultRowHeight="11.4" x14ac:dyDescent="0.2"/>
  <cols>
    <col min="1" max="1" width="49.44140625" style="32" customWidth="1"/>
    <col min="2" max="3" width="11.109375" style="32" customWidth="1"/>
    <col min="4" max="4" width="3.44140625" style="32" customWidth="1"/>
    <col min="5" max="5" width="45.5546875" style="32" customWidth="1"/>
    <col min="6" max="6" width="11.44140625" style="32" customWidth="1"/>
    <col min="7" max="7" width="12.5546875" style="32" customWidth="1"/>
    <col min="8" max="16384" width="9.109375" style="32"/>
  </cols>
  <sheetData>
    <row r="1" spans="1:7" ht="17.399999999999999" x14ac:dyDescent="0.3">
      <c r="A1" s="78" t="s">
        <v>80</v>
      </c>
    </row>
    <row r="3" spans="1:7" x14ac:dyDescent="0.2">
      <c r="A3" s="33" t="s">
        <v>20</v>
      </c>
      <c r="E3" s="33" t="s">
        <v>21</v>
      </c>
    </row>
    <row r="4" spans="1:7" ht="12" x14ac:dyDescent="0.25">
      <c r="A4" s="34"/>
      <c r="B4" s="35" t="s">
        <v>10</v>
      </c>
      <c r="C4" s="36" t="s">
        <v>11</v>
      </c>
      <c r="E4" s="34"/>
      <c r="F4" s="35" t="s">
        <v>10</v>
      </c>
      <c r="G4" s="36" t="s">
        <v>11</v>
      </c>
    </row>
    <row r="5" spans="1:7" x14ac:dyDescent="0.2">
      <c r="A5" s="37" t="s">
        <v>72</v>
      </c>
      <c r="B5" s="38">
        <v>100000</v>
      </c>
      <c r="C5" s="39">
        <v>100000</v>
      </c>
      <c r="E5" s="37" t="s">
        <v>73</v>
      </c>
      <c r="F5" s="38">
        <v>50000</v>
      </c>
      <c r="G5" s="39">
        <v>50000</v>
      </c>
    </row>
    <row r="6" spans="1:7" x14ac:dyDescent="0.2">
      <c r="A6" s="37" t="s">
        <v>83</v>
      </c>
      <c r="B6" s="40">
        <v>-4929</v>
      </c>
      <c r="C6" s="41">
        <v>-4929</v>
      </c>
      <c r="E6" s="37" t="s">
        <v>77</v>
      </c>
      <c r="F6" s="38">
        <f>F5*0.0765</f>
        <v>3825</v>
      </c>
      <c r="G6" s="39">
        <f>G5*0.0765</f>
        <v>3825</v>
      </c>
    </row>
    <row r="7" spans="1:7" x14ac:dyDescent="0.2">
      <c r="A7" s="37" t="s">
        <v>12</v>
      </c>
      <c r="B7" s="38">
        <f>SUM(B5:B6)</f>
        <v>95071</v>
      </c>
      <c r="C7" s="39">
        <f>SUM(C5:C6)</f>
        <v>95071</v>
      </c>
      <c r="E7" s="37" t="s">
        <v>78</v>
      </c>
      <c r="F7" s="38">
        <f>F5*0.1051</f>
        <v>5255</v>
      </c>
      <c r="G7" s="39">
        <f>G5*0.1226</f>
        <v>6130</v>
      </c>
    </row>
    <row r="8" spans="1:7" x14ac:dyDescent="0.2">
      <c r="A8" s="37"/>
      <c r="B8" s="38"/>
      <c r="C8" s="39"/>
      <c r="E8" s="37" t="s">
        <v>0</v>
      </c>
      <c r="F8" s="40">
        <v>4929</v>
      </c>
      <c r="G8" s="41">
        <v>4929</v>
      </c>
    </row>
    <row r="9" spans="1:7" x14ac:dyDescent="0.2">
      <c r="A9" s="37" t="s">
        <v>76</v>
      </c>
      <c r="B9" s="38">
        <f>B7/1.1816</f>
        <v>80459.546377792823</v>
      </c>
      <c r="C9" s="39">
        <f>C7/1.1991</f>
        <v>79285.297306313063</v>
      </c>
      <c r="E9" s="37"/>
      <c r="F9" s="38"/>
      <c r="G9" s="39"/>
    </row>
    <row r="10" spans="1:7" x14ac:dyDescent="0.2">
      <c r="A10" s="37" t="s">
        <v>77</v>
      </c>
      <c r="B10" s="38">
        <f>B9*0.0765</f>
        <v>6155.1552979011512</v>
      </c>
      <c r="C10" s="39">
        <f>C9*0.0765</f>
        <v>6065.325243932949</v>
      </c>
      <c r="E10" s="37" t="s">
        <v>19</v>
      </c>
      <c r="F10" s="38">
        <f>SUM(F5:F8)</f>
        <v>64009</v>
      </c>
      <c r="G10" s="39">
        <f>SUM(G5:G8)</f>
        <v>64884</v>
      </c>
    </row>
    <row r="11" spans="1:7" x14ac:dyDescent="0.2">
      <c r="A11" s="37" t="s">
        <v>82</v>
      </c>
      <c r="B11" s="38">
        <f>B9*0.1051</f>
        <v>8456.2983243060262</v>
      </c>
      <c r="C11" s="39">
        <f>C9*0.1226</f>
        <v>9720.3774497539816</v>
      </c>
      <c r="E11" s="37"/>
      <c r="G11" s="42"/>
    </row>
    <row r="12" spans="1:7" x14ac:dyDescent="0.2">
      <c r="A12" s="37" t="s">
        <v>0</v>
      </c>
      <c r="B12" s="40">
        <v>4929</v>
      </c>
      <c r="C12" s="41">
        <v>4929</v>
      </c>
      <c r="E12" s="37"/>
      <c r="G12" s="42"/>
    </row>
    <row r="13" spans="1:7" x14ac:dyDescent="0.2">
      <c r="A13" s="43" t="s">
        <v>13</v>
      </c>
      <c r="B13" s="44">
        <f>SUM(B9:B12)</f>
        <v>100000</v>
      </c>
      <c r="C13" s="45">
        <f>SUM(C9:C12)</f>
        <v>100000</v>
      </c>
      <c r="E13" s="43"/>
      <c r="F13" s="46"/>
      <c r="G13" s="47"/>
    </row>
    <row r="15" spans="1:7" x14ac:dyDescent="0.2">
      <c r="B15" s="40"/>
    </row>
    <row r="16" spans="1:7" ht="12" x14ac:dyDescent="0.25">
      <c r="A16" s="63" t="s">
        <v>79</v>
      </c>
      <c r="B16" s="64"/>
      <c r="C16" s="65"/>
    </row>
    <row r="17" spans="1:4" ht="12" x14ac:dyDescent="0.25">
      <c r="A17" s="66"/>
      <c r="B17" s="67"/>
      <c r="C17" s="68"/>
    </row>
    <row r="18" spans="1:4" ht="12" x14ac:dyDescent="0.25">
      <c r="A18" s="69" t="s">
        <v>1</v>
      </c>
      <c r="B18" s="70" t="s">
        <v>2</v>
      </c>
      <c r="C18" s="71" t="s">
        <v>3</v>
      </c>
    </row>
    <row r="19" spans="1:4" x14ac:dyDescent="0.2">
      <c r="A19" s="72" t="s">
        <v>4</v>
      </c>
      <c r="B19" s="67">
        <v>919150</v>
      </c>
      <c r="C19" s="68">
        <v>7.65</v>
      </c>
    </row>
    <row r="20" spans="1:4" x14ac:dyDescent="0.2">
      <c r="A20" s="72" t="s">
        <v>57</v>
      </c>
      <c r="B20" s="67">
        <v>919050</v>
      </c>
      <c r="C20" s="68">
        <v>10.51</v>
      </c>
    </row>
    <row r="21" spans="1:4" x14ac:dyDescent="0.2">
      <c r="A21" s="72" t="s">
        <v>7</v>
      </c>
      <c r="B21" s="67">
        <v>918000</v>
      </c>
      <c r="C21" s="68">
        <v>12.26</v>
      </c>
    </row>
    <row r="22" spans="1:4" x14ac:dyDescent="0.2">
      <c r="A22" s="72" t="s">
        <v>5</v>
      </c>
      <c r="B22" s="67">
        <v>919100</v>
      </c>
      <c r="C22" s="68">
        <v>15.51</v>
      </c>
    </row>
    <row r="23" spans="1:4" x14ac:dyDescent="0.2">
      <c r="A23" s="72" t="s">
        <v>6</v>
      </c>
      <c r="B23" s="67">
        <v>917000</v>
      </c>
      <c r="C23" s="73">
        <v>4929</v>
      </c>
      <c r="D23" s="32" t="s">
        <v>22</v>
      </c>
    </row>
    <row r="24" spans="1:4" x14ac:dyDescent="0.2">
      <c r="A24" s="72"/>
      <c r="B24" s="67"/>
      <c r="C24" s="68"/>
    </row>
    <row r="25" spans="1:4" x14ac:dyDescent="0.2">
      <c r="A25" s="72" t="s">
        <v>9</v>
      </c>
      <c r="B25" s="74">
        <f>C19+C20</f>
        <v>18.16</v>
      </c>
      <c r="C25" s="68"/>
    </row>
    <row r="26" spans="1:4" x14ac:dyDescent="0.2">
      <c r="A26" s="75" t="s">
        <v>8</v>
      </c>
      <c r="B26" s="76">
        <f>C19+C21</f>
        <v>19.91</v>
      </c>
      <c r="C26" s="77"/>
    </row>
    <row r="29" spans="1:4" x14ac:dyDescent="0.2">
      <c r="A29" s="32" t="s">
        <v>81</v>
      </c>
    </row>
  </sheetData>
  <pageMargins left="0.75" right="0.75" top="1" bottom="1" header="0.5" footer="0.5"/>
  <pageSetup scale="85" orientation="landscape" cellComments="asDisplayed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0"/>
  <dimension ref="A1:G29"/>
  <sheetViews>
    <sheetView workbookViewId="0"/>
  </sheetViews>
  <sheetFormatPr defaultColWidth="9.109375" defaultRowHeight="11.4" x14ac:dyDescent="0.2"/>
  <cols>
    <col min="1" max="1" width="49.44140625" style="32" customWidth="1"/>
    <col min="2" max="3" width="11.109375" style="32" customWidth="1"/>
    <col min="4" max="4" width="3.44140625" style="32" customWidth="1"/>
    <col min="5" max="5" width="45.5546875" style="32" customWidth="1"/>
    <col min="6" max="6" width="11.44140625" style="32" customWidth="1"/>
    <col min="7" max="7" width="12.5546875" style="32" customWidth="1"/>
    <col min="8" max="16384" width="9.109375" style="32"/>
  </cols>
  <sheetData>
    <row r="1" spans="1:7" ht="12" x14ac:dyDescent="0.25">
      <c r="A1" s="31" t="s">
        <v>68</v>
      </c>
    </row>
    <row r="3" spans="1:7" x14ac:dyDescent="0.2">
      <c r="A3" s="33" t="s">
        <v>20</v>
      </c>
      <c r="E3" s="33" t="s">
        <v>21</v>
      </c>
    </row>
    <row r="4" spans="1:7" ht="12" x14ac:dyDescent="0.25">
      <c r="A4" s="34"/>
      <c r="B4" s="35" t="s">
        <v>10</v>
      </c>
      <c r="C4" s="36" t="s">
        <v>11</v>
      </c>
      <c r="E4" s="34"/>
      <c r="F4" s="35" t="s">
        <v>10</v>
      </c>
      <c r="G4" s="36" t="s">
        <v>11</v>
      </c>
    </row>
    <row r="5" spans="1:7" x14ac:dyDescent="0.2">
      <c r="A5" s="37" t="s">
        <v>72</v>
      </c>
      <c r="B5" s="38">
        <v>100000</v>
      </c>
      <c r="C5" s="39">
        <v>100000</v>
      </c>
      <c r="E5" s="37" t="s">
        <v>73</v>
      </c>
      <c r="F5" s="38">
        <v>50000</v>
      </c>
      <c r="G5" s="39">
        <v>50000</v>
      </c>
    </row>
    <row r="6" spans="1:7" x14ac:dyDescent="0.2">
      <c r="A6" s="37" t="s">
        <v>71</v>
      </c>
      <c r="B6" s="40">
        <v>-4527</v>
      </c>
      <c r="C6" s="41">
        <v>-4527</v>
      </c>
      <c r="E6" s="37" t="s">
        <v>74</v>
      </c>
      <c r="F6" s="38">
        <f>F5*0.0765</f>
        <v>3825</v>
      </c>
      <c r="G6" s="39">
        <f>G5*0.0765</f>
        <v>3825</v>
      </c>
    </row>
    <row r="7" spans="1:7" x14ac:dyDescent="0.2">
      <c r="A7" s="37" t="s">
        <v>12</v>
      </c>
      <c r="B7" s="38">
        <f>SUM(B5:B6)</f>
        <v>95473</v>
      </c>
      <c r="C7" s="39">
        <f>SUM(C5:C6)</f>
        <v>95473</v>
      </c>
      <c r="E7" s="37" t="s">
        <v>75</v>
      </c>
      <c r="F7" s="38">
        <f>F5*0.0875</f>
        <v>4375</v>
      </c>
      <c r="G7" s="39">
        <f>G5*0.1186</f>
        <v>5930</v>
      </c>
    </row>
    <row r="8" spans="1:7" x14ac:dyDescent="0.2">
      <c r="A8" s="37"/>
      <c r="B8" s="38"/>
      <c r="C8" s="39"/>
      <c r="E8" s="37" t="s">
        <v>0</v>
      </c>
      <c r="F8" s="40">
        <v>4527</v>
      </c>
      <c r="G8" s="41">
        <v>4527</v>
      </c>
    </row>
    <row r="9" spans="1:7" x14ac:dyDescent="0.2">
      <c r="A9" s="37" t="s">
        <v>76</v>
      </c>
      <c r="B9" s="38">
        <f>B7/1.164</f>
        <v>82021.477663230253</v>
      </c>
      <c r="C9" s="39">
        <f>C7/1.1951</f>
        <v>79887.038741527896</v>
      </c>
      <c r="E9" s="37"/>
      <c r="F9" s="38"/>
      <c r="G9" s="39"/>
    </row>
    <row r="10" spans="1:7" x14ac:dyDescent="0.2">
      <c r="A10" s="37" t="s">
        <v>77</v>
      </c>
      <c r="B10" s="38">
        <f>B9*0.0765</f>
        <v>6274.6430412371146</v>
      </c>
      <c r="C10" s="39">
        <f>C9*0.0765</f>
        <v>6111.3584637268841</v>
      </c>
      <c r="E10" s="37" t="s">
        <v>19</v>
      </c>
      <c r="F10" s="38">
        <f>SUM(F5:F8)</f>
        <v>62727</v>
      </c>
      <c r="G10" s="39">
        <f>SUM(G5:G8)</f>
        <v>64282</v>
      </c>
    </row>
    <row r="11" spans="1:7" x14ac:dyDescent="0.2">
      <c r="A11" s="37" t="s">
        <v>75</v>
      </c>
      <c r="B11" s="38">
        <f>B9*0.0875</f>
        <v>7176.8792955326462</v>
      </c>
      <c r="C11" s="39">
        <f>C9*0.1186</f>
        <v>9474.6027947452076</v>
      </c>
      <c r="E11" s="37"/>
      <c r="G11" s="42"/>
    </row>
    <row r="12" spans="1:7" x14ac:dyDescent="0.2">
      <c r="A12" s="37" t="s">
        <v>0</v>
      </c>
      <c r="B12" s="40">
        <v>4527</v>
      </c>
      <c r="C12" s="41">
        <v>4527</v>
      </c>
      <c r="E12" s="37"/>
      <c r="G12" s="42"/>
    </row>
    <row r="13" spans="1:7" x14ac:dyDescent="0.2">
      <c r="A13" s="43" t="s">
        <v>13</v>
      </c>
      <c r="B13" s="44">
        <f>SUM(B9:B12)</f>
        <v>100000.00000000001</v>
      </c>
      <c r="C13" s="45">
        <f>SUM(C9:C12)</f>
        <v>99999.999999999985</v>
      </c>
      <c r="E13" s="43"/>
      <c r="F13" s="46"/>
      <c r="G13" s="47"/>
    </row>
    <row r="15" spans="1:7" x14ac:dyDescent="0.2">
      <c r="B15" s="40"/>
    </row>
    <row r="16" spans="1:7" ht="12" x14ac:dyDescent="0.25">
      <c r="A16" s="48" t="s">
        <v>69</v>
      </c>
      <c r="B16" s="49"/>
      <c r="C16" s="50"/>
    </row>
    <row r="17" spans="1:4" ht="12" x14ac:dyDescent="0.25">
      <c r="A17" s="51"/>
      <c r="B17" s="52"/>
      <c r="C17" s="53"/>
    </row>
    <row r="18" spans="1:4" ht="12" x14ac:dyDescent="0.25">
      <c r="A18" s="54" t="s">
        <v>1</v>
      </c>
      <c r="B18" s="55" t="s">
        <v>2</v>
      </c>
      <c r="C18" s="56" t="s">
        <v>3</v>
      </c>
    </row>
    <row r="19" spans="1:4" x14ac:dyDescent="0.2">
      <c r="A19" s="57" t="s">
        <v>4</v>
      </c>
      <c r="B19" s="52">
        <v>919150</v>
      </c>
      <c r="C19" s="53">
        <v>7.65</v>
      </c>
    </row>
    <row r="20" spans="1:4" x14ac:dyDescent="0.2">
      <c r="A20" s="57" t="s">
        <v>57</v>
      </c>
      <c r="B20" s="52">
        <v>919050</v>
      </c>
      <c r="C20" s="53">
        <v>8.75</v>
      </c>
    </row>
    <row r="21" spans="1:4" x14ac:dyDescent="0.2">
      <c r="A21" s="57" t="s">
        <v>7</v>
      </c>
      <c r="B21" s="52">
        <v>918000</v>
      </c>
      <c r="C21" s="53">
        <v>11.86</v>
      </c>
    </row>
    <row r="22" spans="1:4" x14ac:dyDescent="0.2">
      <c r="A22" s="57" t="s">
        <v>5</v>
      </c>
      <c r="B22" s="52">
        <v>919100</v>
      </c>
      <c r="C22" s="53">
        <v>13.54</v>
      </c>
    </row>
    <row r="23" spans="1:4" x14ac:dyDescent="0.2">
      <c r="A23" s="57" t="s">
        <v>6</v>
      </c>
      <c r="B23" s="52">
        <v>917000</v>
      </c>
      <c r="C23" s="58">
        <v>4527</v>
      </c>
      <c r="D23" s="32" t="s">
        <v>22</v>
      </c>
    </row>
    <row r="24" spans="1:4" x14ac:dyDescent="0.2">
      <c r="A24" s="57"/>
      <c r="B24" s="52"/>
      <c r="C24" s="53"/>
    </row>
    <row r="25" spans="1:4" x14ac:dyDescent="0.2">
      <c r="A25" s="57" t="s">
        <v>9</v>
      </c>
      <c r="B25" s="59">
        <f>C19+C20</f>
        <v>16.399999999999999</v>
      </c>
      <c r="C25" s="53"/>
    </row>
    <row r="26" spans="1:4" x14ac:dyDescent="0.2">
      <c r="A26" s="60" t="s">
        <v>8</v>
      </c>
      <c r="B26" s="61">
        <f>C19+C21</f>
        <v>19.509999999999998</v>
      </c>
      <c r="C26" s="62"/>
    </row>
    <row r="29" spans="1:4" x14ac:dyDescent="0.2">
      <c r="A29" s="32" t="s">
        <v>70</v>
      </c>
    </row>
  </sheetData>
  <phoneticPr fontId="6" type="noConversion"/>
  <pageMargins left="0.75" right="0.75" top="1" bottom="1" header="0.5" footer="0.5"/>
  <pageSetup scale="85" orientation="landscape" cellComments="asDisplayed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/>
  <dimension ref="A1:G29"/>
  <sheetViews>
    <sheetView workbookViewId="0"/>
  </sheetViews>
  <sheetFormatPr defaultRowHeight="13.2" x14ac:dyDescent="0.25"/>
  <cols>
    <col min="1" max="1" width="49.44140625" customWidth="1"/>
    <col min="2" max="3" width="11.109375" customWidth="1"/>
    <col min="4" max="4" width="3.44140625" customWidth="1"/>
    <col min="5" max="5" width="45.5546875" customWidth="1"/>
    <col min="6" max="6" width="11.44140625" customWidth="1"/>
    <col min="7" max="7" width="12.5546875" customWidth="1"/>
  </cols>
  <sheetData>
    <row r="1" spans="1:7" x14ac:dyDescent="0.25">
      <c r="A1" s="16" t="s">
        <v>63</v>
      </c>
    </row>
    <row r="3" spans="1:7" x14ac:dyDescent="0.25">
      <c r="A3" s="1" t="s">
        <v>20</v>
      </c>
      <c r="E3" s="1" t="s">
        <v>21</v>
      </c>
    </row>
    <row r="4" spans="1:7" x14ac:dyDescent="0.25">
      <c r="A4" s="10"/>
      <c r="B4" s="14" t="s">
        <v>10</v>
      </c>
      <c r="C4" s="15" t="s">
        <v>11</v>
      </c>
      <c r="E4" s="10"/>
      <c r="F4" s="14" t="s">
        <v>10</v>
      </c>
      <c r="G4" s="15" t="s">
        <v>11</v>
      </c>
    </row>
    <row r="5" spans="1:7" x14ac:dyDescent="0.25">
      <c r="A5" s="5" t="s">
        <v>16</v>
      </c>
      <c r="B5" s="9">
        <v>100000</v>
      </c>
      <c r="C5" s="11">
        <v>100000</v>
      </c>
      <c r="E5" s="5" t="s">
        <v>15</v>
      </c>
      <c r="F5" s="9">
        <v>50000</v>
      </c>
      <c r="G5" s="11">
        <v>50000</v>
      </c>
    </row>
    <row r="6" spans="1:7" x14ac:dyDescent="0.25">
      <c r="A6" s="5" t="s">
        <v>66</v>
      </c>
      <c r="B6" s="4">
        <v>-4157</v>
      </c>
      <c r="C6" s="12">
        <v>-4157</v>
      </c>
      <c r="E6" s="5" t="s">
        <v>18</v>
      </c>
      <c r="F6" s="9">
        <f>F5*0.0765</f>
        <v>3825</v>
      </c>
      <c r="G6" s="11">
        <f>G5*0.0765</f>
        <v>3825</v>
      </c>
    </row>
    <row r="7" spans="1:7" x14ac:dyDescent="0.25">
      <c r="A7" s="5" t="s">
        <v>12</v>
      </c>
      <c r="B7" s="9">
        <f>SUM(B5:B6)</f>
        <v>95843</v>
      </c>
      <c r="C7" s="11">
        <f>SUM(C5:C6)</f>
        <v>95843</v>
      </c>
      <c r="E7" s="5" t="s">
        <v>64</v>
      </c>
      <c r="F7" s="9">
        <f>F5*0.0814</f>
        <v>4070</v>
      </c>
      <c r="G7" s="11">
        <f>G5*0.1146</f>
        <v>5730</v>
      </c>
    </row>
    <row r="8" spans="1:7" x14ac:dyDescent="0.25">
      <c r="A8" s="5"/>
      <c r="B8" s="9"/>
      <c r="C8" s="11"/>
      <c r="E8" s="5" t="s">
        <v>0</v>
      </c>
      <c r="F8" s="4">
        <v>4157</v>
      </c>
      <c r="G8" s="12">
        <v>4157</v>
      </c>
    </row>
    <row r="9" spans="1:7" x14ac:dyDescent="0.25">
      <c r="A9" s="5" t="s">
        <v>17</v>
      </c>
      <c r="B9" s="9">
        <f>B7/1.1579</f>
        <v>82773.123758528382</v>
      </c>
      <c r="C9" s="11">
        <f>C7/1.1911</f>
        <v>80465.955839140282</v>
      </c>
      <c r="E9" s="5"/>
      <c r="F9" s="9"/>
      <c r="G9" s="11"/>
    </row>
    <row r="10" spans="1:7" x14ac:dyDescent="0.25">
      <c r="A10" s="5" t="s">
        <v>14</v>
      </c>
      <c r="B10" s="9">
        <f>B9*0.0765</f>
        <v>6332.1439675274214</v>
      </c>
      <c r="C10" s="11">
        <f>C9*0.0765</f>
        <v>6155.6456216942315</v>
      </c>
      <c r="E10" s="5" t="s">
        <v>19</v>
      </c>
      <c r="F10" s="9">
        <f>SUM(F5:F8)</f>
        <v>62052</v>
      </c>
      <c r="G10" s="11">
        <f>SUM(G5:G8)</f>
        <v>63712</v>
      </c>
    </row>
    <row r="11" spans="1:7" x14ac:dyDescent="0.25">
      <c r="A11" s="5" t="s">
        <v>64</v>
      </c>
      <c r="B11" s="9">
        <f>B9*0.0814</f>
        <v>6737.7322739442106</v>
      </c>
      <c r="C11" s="11">
        <f>C9*0.1146</f>
        <v>9221.3985391654751</v>
      </c>
      <c r="E11" s="5"/>
      <c r="G11" s="6"/>
    </row>
    <row r="12" spans="1:7" x14ac:dyDescent="0.25">
      <c r="A12" s="5" t="s">
        <v>0</v>
      </c>
      <c r="B12" s="4">
        <v>4157</v>
      </c>
      <c r="C12" s="12">
        <v>4157</v>
      </c>
      <c r="E12" s="5"/>
      <c r="G12" s="6"/>
    </row>
    <row r="13" spans="1:7" x14ac:dyDescent="0.25">
      <c r="A13" s="7" t="s">
        <v>13</v>
      </c>
      <c r="B13" s="3">
        <f>SUM(B9:B12)</f>
        <v>100000.00000000001</v>
      </c>
      <c r="C13" s="13">
        <f>SUM(C9:C12)</f>
        <v>99999.999999999985</v>
      </c>
      <c r="E13" s="7"/>
      <c r="F13" s="2"/>
      <c r="G13" s="8"/>
    </row>
    <row r="15" spans="1:7" x14ac:dyDescent="0.25">
      <c r="B15" s="4"/>
    </row>
    <row r="16" spans="1:7" x14ac:dyDescent="0.25">
      <c r="A16" s="17" t="s">
        <v>65</v>
      </c>
      <c r="B16" s="18"/>
      <c r="C16" s="19"/>
    </row>
    <row r="17" spans="1:4" x14ac:dyDescent="0.25">
      <c r="A17" s="20"/>
      <c r="B17" s="21"/>
      <c r="C17" s="22"/>
    </row>
    <row r="18" spans="1:4" x14ac:dyDescent="0.25">
      <c r="A18" s="23" t="s">
        <v>1</v>
      </c>
      <c r="B18" s="24" t="s">
        <v>2</v>
      </c>
      <c r="C18" s="25" t="s">
        <v>3</v>
      </c>
    </row>
    <row r="19" spans="1:4" x14ac:dyDescent="0.25">
      <c r="A19" s="26" t="s">
        <v>4</v>
      </c>
      <c r="B19" s="21">
        <v>919150</v>
      </c>
      <c r="C19" s="22">
        <v>7.65</v>
      </c>
    </row>
    <row r="20" spans="1:4" x14ac:dyDescent="0.25">
      <c r="A20" s="26" t="s">
        <v>57</v>
      </c>
      <c r="B20" s="21">
        <v>919050</v>
      </c>
      <c r="C20" s="22">
        <v>8.14</v>
      </c>
    </row>
    <row r="21" spans="1:4" x14ac:dyDescent="0.25">
      <c r="A21" s="26" t="s">
        <v>7</v>
      </c>
      <c r="B21" s="21">
        <v>918000</v>
      </c>
      <c r="C21" s="22">
        <v>11.46</v>
      </c>
    </row>
    <row r="22" spans="1:4" x14ac:dyDescent="0.25">
      <c r="A22" s="26" t="s">
        <v>5</v>
      </c>
      <c r="B22" s="21">
        <v>919100</v>
      </c>
      <c r="C22" s="22">
        <v>13.14</v>
      </c>
    </row>
    <row r="23" spans="1:4" x14ac:dyDescent="0.25">
      <c r="A23" s="26" t="s">
        <v>6</v>
      </c>
      <c r="B23" s="21">
        <v>917000</v>
      </c>
      <c r="C23" s="27">
        <v>4157</v>
      </c>
      <c r="D23" t="s">
        <v>22</v>
      </c>
    </row>
    <row r="24" spans="1:4" x14ac:dyDescent="0.25">
      <c r="A24" s="26"/>
      <c r="B24" s="21"/>
      <c r="C24" s="22"/>
    </row>
    <row r="25" spans="1:4" x14ac:dyDescent="0.25">
      <c r="A25" s="26" t="s">
        <v>9</v>
      </c>
      <c r="B25" s="21">
        <f>C19+C20</f>
        <v>15.790000000000001</v>
      </c>
      <c r="C25" s="22"/>
    </row>
    <row r="26" spans="1:4" x14ac:dyDescent="0.25">
      <c r="A26" s="28" t="s">
        <v>8</v>
      </c>
      <c r="B26" s="29">
        <f>C19+C21</f>
        <v>19.11</v>
      </c>
      <c r="C26" s="30"/>
    </row>
    <row r="29" spans="1:4" x14ac:dyDescent="0.25">
      <c r="A29" t="s">
        <v>67</v>
      </c>
    </row>
  </sheetData>
  <phoneticPr fontId="6" type="noConversion"/>
  <pageMargins left="0.75" right="0.75" top="1" bottom="1" header="0.5" footer="0.5"/>
  <pageSetup scale="8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38"/>
  <sheetViews>
    <sheetView workbookViewId="0"/>
  </sheetViews>
  <sheetFormatPr defaultColWidth="8.88671875" defaultRowHeight="10.199999999999999" x14ac:dyDescent="0.2"/>
  <cols>
    <col min="1" max="1" width="11" style="183" customWidth="1"/>
    <col min="2" max="2" width="40.44140625" style="182" customWidth="1"/>
    <col min="3" max="3" width="8.5546875" style="182" customWidth="1"/>
    <col min="4" max="4" width="6.109375" style="182" bestFit="1" customWidth="1"/>
    <col min="5" max="7" width="8.5546875" style="183" customWidth="1"/>
    <col min="8" max="9" width="8.5546875" style="182" customWidth="1"/>
    <col min="10" max="10" width="3.88671875" style="182" customWidth="1"/>
    <col min="11" max="11" width="29.5546875" style="182" customWidth="1"/>
    <col min="12" max="16384" width="8.88671875" style="182"/>
  </cols>
  <sheetData>
    <row r="1" spans="1:11" ht="13.8" x14ac:dyDescent="0.25">
      <c r="E1" s="425" t="s">
        <v>178</v>
      </c>
      <c r="F1" s="425"/>
      <c r="G1" s="425"/>
      <c r="H1" s="425"/>
      <c r="I1" s="223"/>
      <c r="J1" s="223"/>
      <c r="K1" s="237" t="s">
        <v>200</v>
      </c>
    </row>
    <row r="2" spans="1:11" s="185" customFormat="1" ht="68.400000000000006" customHeight="1" x14ac:dyDescent="0.2">
      <c r="A2" s="184" t="s">
        <v>136</v>
      </c>
      <c r="B2" s="185" t="s">
        <v>137</v>
      </c>
      <c r="C2" s="185" t="s">
        <v>159</v>
      </c>
      <c r="D2" s="184" t="s">
        <v>138</v>
      </c>
      <c r="E2" s="207" t="s">
        <v>146</v>
      </c>
      <c r="F2" s="207" t="s">
        <v>147</v>
      </c>
      <c r="G2" s="207" t="s">
        <v>148</v>
      </c>
      <c r="H2" s="217" t="s">
        <v>187</v>
      </c>
      <c r="I2" s="239" t="s">
        <v>198</v>
      </c>
      <c r="J2" s="184"/>
      <c r="K2" s="246" t="s">
        <v>198</v>
      </c>
    </row>
    <row r="3" spans="1:11" x14ac:dyDescent="0.2">
      <c r="A3" s="186">
        <v>10</v>
      </c>
      <c r="B3" s="187" t="s">
        <v>153</v>
      </c>
      <c r="C3" s="186" t="s">
        <v>155</v>
      </c>
      <c r="D3" s="187">
        <v>912100</v>
      </c>
      <c r="E3" s="188">
        <v>7.6499999999999999E-2</v>
      </c>
      <c r="F3" s="188">
        <v>0.1532</v>
      </c>
      <c r="G3" s="227"/>
      <c r="H3" s="208">
        <v>5471</v>
      </c>
      <c r="I3" s="243" t="s">
        <v>197</v>
      </c>
      <c r="J3" s="224"/>
      <c r="K3" s="247" t="s">
        <v>197</v>
      </c>
    </row>
    <row r="4" spans="1:11" x14ac:dyDescent="0.2">
      <c r="A4" s="189">
        <v>10</v>
      </c>
      <c r="B4" s="190" t="s">
        <v>154</v>
      </c>
      <c r="C4" s="186" t="s">
        <v>156</v>
      </c>
      <c r="D4" s="187">
        <v>912100</v>
      </c>
      <c r="E4" s="191">
        <v>7.6499999999999999E-2</v>
      </c>
      <c r="F4" s="225"/>
      <c r="G4" s="226"/>
      <c r="H4" s="233"/>
      <c r="I4" s="244" t="s">
        <v>197</v>
      </c>
      <c r="J4" s="224"/>
      <c r="K4" s="204" t="s">
        <v>197</v>
      </c>
    </row>
    <row r="5" spans="1:11" x14ac:dyDescent="0.2">
      <c r="A5" s="189">
        <v>15</v>
      </c>
      <c r="B5" s="190" t="s">
        <v>139</v>
      </c>
      <c r="C5" s="229"/>
      <c r="D5" s="190">
        <v>915900</v>
      </c>
      <c r="E5" s="191">
        <v>7.6499999999999999E-2</v>
      </c>
      <c r="F5" s="225"/>
      <c r="G5" s="226"/>
      <c r="H5" s="233"/>
      <c r="I5" s="245" t="s">
        <v>199</v>
      </c>
      <c r="J5" s="224"/>
      <c r="K5" s="204" t="s">
        <v>197</v>
      </c>
    </row>
    <row r="6" spans="1:11" x14ac:dyDescent="0.2">
      <c r="A6" s="189">
        <v>18</v>
      </c>
      <c r="B6" s="190" t="s">
        <v>140</v>
      </c>
      <c r="C6" s="229"/>
      <c r="D6" s="190">
        <v>915900</v>
      </c>
      <c r="E6" s="191">
        <v>7.6499999999999999E-2</v>
      </c>
      <c r="F6" s="225"/>
      <c r="G6" s="226"/>
      <c r="H6" s="233"/>
      <c r="I6" s="245" t="s">
        <v>199</v>
      </c>
      <c r="J6" s="224"/>
      <c r="K6" s="204" t="s">
        <v>197</v>
      </c>
    </row>
    <row r="7" spans="1:11" x14ac:dyDescent="0.2">
      <c r="A7" s="189">
        <v>19</v>
      </c>
      <c r="B7" s="190" t="s">
        <v>141</v>
      </c>
      <c r="C7" s="229"/>
      <c r="D7" s="190">
        <v>915900</v>
      </c>
      <c r="E7" s="191">
        <v>7.6499999999999999E-2</v>
      </c>
      <c r="F7" s="225"/>
      <c r="G7" s="226"/>
      <c r="H7" s="233"/>
      <c r="I7" s="245" t="s">
        <v>199</v>
      </c>
      <c r="J7" s="224"/>
      <c r="K7" s="204" t="s">
        <v>197</v>
      </c>
    </row>
    <row r="8" spans="1:11" x14ac:dyDescent="0.2">
      <c r="A8" s="189">
        <v>20</v>
      </c>
      <c r="B8" s="190" t="s">
        <v>157</v>
      </c>
      <c r="C8" s="186" t="s">
        <v>155</v>
      </c>
      <c r="D8" s="190">
        <v>911100</v>
      </c>
      <c r="E8" s="191">
        <v>7.6499999999999999E-2</v>
      </c>
      <c r="F8" s="225"/>
      <c r="G8" s="191">
        <v>0.1285</v>
      </c>
      <c r="H8" s="210">
        <v>5471</v>
      </c>
      <c r="I8" s="244" t="s">
        <v>197</v>
      </c>
      <c r="J8" s="224"/>
      <c r="K8" s="204" t="s">
        <v>197</v>
      </c>
    </row>
    <row r="9" spans="1:11" x14ac:dyDescent="0.2">
      <c r="A9" s="189">
        <v>20</v>
      </c>
      <c r="B9" s="190" t="s">
        <v>158</v>
      </c>
      <c r="C9" s="186" t="s">
        <v>156</v>
      </c>
      <c r="D9" s="190">
        <v>911100</v>
      </c>
      <c r="E9" s="191">
        <v>7.6499999999999999E-2</v>
      </c>
      <c r="F9" s="225"/>
      <c r="G9" s="225"/>
      <c r="H9" s="233"/>
      <c r="I9" s="244" t="s">
        <v>197</v>
      </c>
      <c r="J9" s="224"/>
      <c r="K9" s="204" t="s">
        <v>197</v>
      </c>
    </row>
    <row r="10" spans="1:11" x14ac:dyDescent="0.2">
      <c r="A10" s="189">
        <v>30</v>
      </c>
      <c r="B10" s="190" t="s">
        <v>142</v>
      </c>
      <c r="C10" s="189">
        <v>1</v>
      </c>
      <c r="D10" s="190">
        <v>913100</v>
      </c>
      <c r="E10" s="191">
        <v>7.6499999999999999E-2</v>
      </c>
      <c r="F10" s="225"/>
      <c r="G10" s="191">
        <v>0.1285</v>
      </c>
      <c r="H10" s="210">
        <v>5471</v>
      </c>
      <c r="I10" s="244" t="s">
        <v>197</v>
      </c>
      <c r="J10" s="224"/>
      <c r="K10" s="204" t="s">
        <v>197</v>
      </c>
    </row>
    <row r="11" spans="1:11" x14ac:dyDescent="0.2">
      <c r="A11" s="189">
        <v>32</v>
      </c>
      <c r="B11" s="190" t="s">
        <v>143</v>
      </c>
      <c r="C11" s="189">
        <v>1</v>
      </c>
      <c r="D11" s="190">
        <v>913100</v>
      </c>
      <c r="E11" s="191">
        <v>7.6499999999999999E-2</v>
      </c>
      <c r="F11" s="226"/>
      <c r="G11" s="191">
        <v>0.1285</v>
      </c>
      <c r="H11" s="210">
        <v>5471</v>
      </c>
      <c r="I11" s="244" t="s">
        <v>197</v>
      </c>
      <c r="J11" s="224"/>
      <c r="K11" s="204" t="s">
        <v>197</v>
      </c>
    </row>
    <row r="12" spans="1:11" x14ac:dyDescent="0.2">
      <c r="A12" s="189">
        <v>36</v>
      </c>
      <c r="B12" s="190" t="s">
        <v>144</v>
      </c>
      <c r="C12" s="189">
        <v>1</v>
      </c>
      <c r="D12" s="190">
        <v>913100</v>
      </c>
      <c r="E12" s="191">
        <v>7.6499999999999999E-2</v>
      </c>
      <c r="F12" s="226"/>
      <c r="G12" s="191">
        <v>0.1285</v>
      </c>
      <c r="H12" s="210">
        <v>5471</v>
      </c>
      <c r="I12" s="244" t="s">
        <v>197</v>
      </c>
      <c r="J12" s="224"/>
      <c r="K12" s="204" t="s">
        <v>197</v>
      </c>
    </row>
    <row r="13" spans="1:11" x14ac:dyDescent="0.2">
      <c r="A13" s="189">
        <v>40</v>
      </c>
      <c r="B13" s="190" t="s">
        <v>145</v>
      </c>
      <c r="C13" s="238"/>
      <c r="D13" s="190">
        <v>911200</v>
      </c>
      <c r="E13" s="191">
        <v>7.6499999999999999E-2</v>
      </c>
      <c r="F13" s="225"/>
      <c r="G13" s="231"/>
      <c r="H13" s="233" t="s">
        <v>188</v>
      </c>
      <c r="I13" s="245" t="s">
        <v>199</v>
      </c>
      <c r="J13" s="224"/>
      <c r="K13" s="204" t="s">
        <v>197</v>
      </c>
    </row>
    <row r="14" spans="1:11" x14ac:dyDescent="0.2">
      <c r="A14" s="189">
        <v>50</v>
      </c>
      <c r="B14" s="190" t="s">
        <v>195</v>
      </c>
      <c r="C14" s="238"/>
      <c r="D14" s="190">
        <v>911200</v>
      </c>
      <c r="E14" s="191">
        <v>7.6499999999999999E-2</v>
      </c>
      <c r="F14" s="228"/>
      <c r="G14" s="231"/>
      <c r="H14" s="232"/>
      <c r="I14" s="245" t="s">
        <v>199</v>
      </c>
      <c r="J14" s="224"/>
      <c r="K14" s="204" t="s">
        <v>197</v>
      </c>
    </row>
    <row r="15" spans="1:11" x14ac:dyDescent="0.2">
      <c r="A15" s="189">
        <v>45</v>
      </c>
      <c r="B15" s="190" t="s">
        <v>149</v>
      </c>
      <c r="C15" s="238"/>
      <c r="D15" s="190">
        <v>911300</v>
      </c>
      <c r="E15" s="191">
        <v>7.6499999999999999E-2</v>
      </c>
      <c r="F15" s="228"/>
      <c r="G15" s="231"/>
      <c r="H15" s="232"/>
      <c r="I15" s="245" t="s">
        <v>199</v>
      </c>
      <c r="J15" s="224"/>
      <c r="K15" s="204" t="s">
        <v>197</v>
      </c>
    </row>
    <row r="16" spans="1:11" x14ac:dyDescent="0.2">
      <c r="A16" s="189">
        <v>45</v>
      </c>
      <c r="B16" s="190" t="s">
        <v>151</v>
      </c>
      <c r="C16" s="238"/>
      <c r="D16" s="190">
        <v>913300</v>
      </c>
      <c r="E16" s="191">
        <v>7.6499999999999999E-2</v>
      </c>
      <c r="F16" s="228"/>
      <c r="G16" s="231"/>
      <c r="H16" s="232"/>
      <c r="I16" s="245" t="s">
        <v>199</v>
      </c>
      <c r="J16" s="224"/>
      <c r="K16" s="204" t="s">
        <v>197</v>
      </c>
    </row>
    <row r="17" spans="1:11" x14ac:dyDescent="0.2">
      <c r="A17" s="189">
        <v>50</v>
      </c>
      <c r="B17" s="190" t="s">
        <v>196</v>
      </c>
      <c r="C17" s="238"/>
      <c r="D17" s="190">
        <v>913200</v>
      </c>
      <c r="E17" s="191">
        <v>7.6499999999999999E-2</v>
      </c>
      <c r="F17" s="228"/>
      <c r="G17" s="231"/>
      <c r="H17" s="232"/>
      <c r="I17" s="245" t="s">
        <v>199</v>
      </c>
      <c r="J17" s="224"/>
      <c r="K17" s="204" t="s">
        <v>197</v>
      </c>
    </row>
    <row r="18" spans="1:11" x14ac:dyDescent="0.2">
      <c r="A18" s="189">
        <v>60</v>
      </c>
      <c r="B18" s="190" t="s">
        <v>161</v>
      </c>
      <c r="C18" s="190" t="s">
        <v>160</v>
      </c>
      <c r="D18" s="190">
        <v>913250</v>
      </c>
      <c r="E18" s="191" t="s">
        <v>174</v>
      </c>
      <c r="F18" s="229"/>
      <c r="G18" s="226"/>
      <c r="H18" s="233">
        <v>1136.68</v>
      </c>
      <c r="I18" s="240" t="s">
        <v>174</v>
      </c>
      <c r="J18" s="236"/>
      <c r="K18" s="225" t="s">
        <v>174</v>
      </c>
    </row>
    <row r="19" spans="1:11" x14ac:dyDescent="0.2">
      <c r="A19" s="189">
        <v>60</v>
      </c>
      <c r="B19" s="190" t="s">
        <v>162</v>
      </c>
      <c r="C19" s="190" t="s">
        <v>160</v>
      </c>
      <c r="D19" s="190">
        <v>911250</v>
      </c>
      <c r="E19" s="191" t="s">
        <v>174</v>
      </c>
      <c r="F19" s="229"/>
      <c r="G19" s="226"/>
      <c r="H19" s="233">
        <v>1136.68</v>
      </c>
      <c r="I19" s="240" t="s">
        <v>174</v>
      </c>
      <c r="J19" s="236"/>
      <c r="K19" s="225" t="s">
        <v>174</v>
      </c>
    </row>
    <row r="20" spans="1:11" x14ac:dyDescent="0.2">
      <c r="A20" s="189">
        <v>60</v>
      </c>
      <c r="B20" s="190" t="s">
        <v>163</v>
      </c>
      <c r="C20" s="190" t="s">
        <v>160</v>
      </c>
      <c r="D20" s="190">
        <v>911260</v>
      </c>
      <c r="E20" s="191" t="s">
        <v>174</v>
      </c>
      <c r="F20" s="229"/>
      <c r="G20" s="226"/>
      <c r="H20" s="233">
        <v>1136.68</v>
      </c>
      <c r="I20" s="240" t="s">
        <v>174</v>
      </c>
      <c r="J20" s="236"/>
      <c r="K20" s="225" t="s">
        <v>174</v>
      </c>
    </row>
    <row r="21" spans="1:11" x14ac:dyDescent="0.2">
      <c r="A21" s="189">
        <v>70</v>
      </c>
      <c r="B21" s="190" t="s">
        <v>164</v>
      </c>
      <c r="C21" s="190" t="s">
        <v>165</v>
      </c>
      <c r="D21" s="190">
        <v>915020</v>
      </c>
      <c r="E21" s="204" t="s">
        <v>174</v>
      </c>
      <c r="F21" s="226"/>
      <c r="G21" s="226"/>
      <c r="H21" s="234"/>
      <c r="I21" s="241" t="s">
        <v>174</v>
      </c>
      <c r="J21" s="183"/>
      <c r="K21" s="226" t="s">
        <v>174</v>
      </c>
    </row>
    <row r="22" spans="1:11" x14ac:dyDescent="0.2">
      <c r="A22" s="189">
        <v>72</v>
      </c>
      <c r="B22" s="190" t="s">
        <v>150</v>
      </c>
      <c r="C22" s="190" t="s">
        <v>165</v>
      </c>
      <c r="D22" s="190">
        <v>915020</v>
      </c>
      <c r="E22" s="204" t="s">
        <v>174</v>
      </c>
      <c r="F22" s="226"/>
      <c r="G22" s="226"/>
      <c r="H22" s="234"/>
      <c r="I22" s="241" t="s">
        <v>174</v>
      </c>
      <c r="J22" s="183"/>
      <c r="K22" s="226" t="s">
        <v>174</v>
      </c>
    </row>
    <row r="23" spans="1:11" x14ac:dyDescent="0.2">
      <c r="A23" s="189">
        <v>75</v>
      </c>
      <c r="B23" s="190" t="s">
        <v>152</v>
      </c>
      <c r="C23" s="190" t="s">
        <v>165</v>
      </c>
      <c r="D23" s="190">
        <v>915020</v>
      </c>
      <c r="E23" s="204" t="s">
        <v>174</v>
      </c>
      <c r="F23" s="226"/>
      <c r="G23" s="226"/>
      <c r="H23" s="234"/>
      <c r="I23" s="241" t="s">
        <v>174</v>
      </c>
      <c r="J23" s="183"/>
      <c r="K23" s="226" t="s">
        <v>174</v>
      </c>
    </row>
    <row r="24" spans="1:11" x14ac:dyDescent="0.2">
      <c r="A24" s="189" t="s">
        <v>172</v>
      </c>
      <c r="B24" s="190" t="s">
        <v>173</v>
      </c>
      <c r="C24" s="190" t="s">
        <v>170</v>
      </c>
      <c r="D24" s="203" t="s">
        <v>171</v>
      </c>
      <c r="E24" s="206" t="s">
        <v>174</v>
      </c>
      <c r="F24" s="230"/>
      <c r="G24" s="230"/>
      <c r="H24" s="235"/>
      <c r="I24" s="242" t="s">
        <v>174</v>
      </c>
      <c r="J24" s="183"/>
      <c r="K24" s="248" t="s">
        <v>174</v>
      </c>
    </row>
    <row r="25" spans="1:11" x14ac:dyDescent="0.2">
      <c r="H25" s="183"/>
      <c r="I25" s="183"/>
      <c r="J25" s="183"/>
    </row>
    <row r="26" spans="1:11" x14ac:dyDescent="0.2">
      <c r="A26" s="202" t="s">
        <v>167</v>
      </c>
      <c r="B26" s="182" t="s">
        <v>166</v>
      </c>
      <c r="H26" s="183"/>
      <c r="I26" s="183"/>
      <c r="J26" s="183"/>
    </row>
    <row r="27" spans="1:11" x14ac:dyDescent="0.2">
      <c r="A27" s="202" t="s">
        <v>168</v>
      </c>
      <c r="B27" s="182" t="s">
        <v>169</v>
      </c>
      <c r="H27" s="183"/>
      <c r="I27" s="183"/>
      <c r="J27" s="183"/>
    </row>
    <row r="30" spans="1:11" ht="13.2" x14ac:dyDescent="0.2">
      <c r="B30" s="258"/>
    </row>
    <row r="31" spans="1:11" ht="13.2" x14ac:dyDescent="0.25">
      <c r="B31"/>
    </row>
    <row r="32" spans="1:11" ht="13.2" x14ac:dyDescent="0.2">
      <c r="B32" s="258"/>
    </row>
    <row r="33" spans="2:2" ht="13.2" x14ac:dyDescent="0.25">
      <c r="B33"/>
    </row>
    <row r="34" spans="2:2" ht="13.2" x14ac:dyDescent="0.2">
      <c r="B34" s="258"/>
    </row>
    <row r="35" spans="2:2" ht="13.2" x14ac:dyDescent="0.25">
      <c r="B35"/>
    </row>
    <row r="36" spans="2:2" ht="13.2" x14ac:dyDescent="0.2">
      <c r="B36" s="258"/>
    </row>
    <row r="37" spans="2:2" ht="13.2" x14ac:dyDescent="0.25">
      <c r="B37"/>
    </row>
    <row r="38" spans="2:2" ht="13.2" x14ac:dyDescent="0.2">
      <c r="B38" s="258"/>
    </row>
  </sheetData>
  <mergeCells count="1">
    <mergeCell ref="E1:H1"/>
  </mergeCells>
  <pageMargins left="0.7" right="0.7" top="0.75" bottom="0.75" header="0.3" footer="0.3"/>
  <pageSetup scale="85" orientation="landscape" r:id="rId1"/>
  <headerFooter>
    <oddFooter>&amp;L&amp;Z&amp;F&amp;RPage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33"/>
  <sheetViews>
    <sheetView workbookViewId="0"/>
  </sheetViews>
  <sheetFormatPr defaultColWidth="9.109375" defaultRowHeight="11.4" x14ac:dyDescent="0.2"/>
  <cols>
    <col min="1" max="1" width="49.44140625" style="32" customWidth="1"/>
    <col min="2" max="2" width="9.44140625" style="32" customWidth="1"/>
    <col min="3" max="3" width="9.88671875" style="32" customWidth="1"/>
    <col min="4" max="4" width="3.44140625" style="32" customWidth="1"/>
    <col min="5" max="5" width="1.5546875" style="32" customWidth="1"/>
    <col min="6" max="6" width="45.44140625" style="32" customWidth="1"/>
    <col min="7" max="7" width="9" style="32" customWidth="1"/>
    <col min="8" max="8" width="9.88671875" style="32" customWidth="1"/>
    <col min="9" max="9" width="3.109375" style="32" customWidth="1"/>
    <col min="10" max="10" width="14.5546875" style="32" customWidth="1"/>
    <col min="11" max="12" width="9.109375" style="32"/>
    <col min="13" max="13" width="9.5546875" style="32" customWidth="1"/>
    <col min="14" max="16384" width="9.109375" style="32"/>
  </cols>
  <sheetData>
    <row r="1" spans="1:13" ht="17.399999999999999" x14ac:dyDescent="0.3">
      <c r="A1" s="78" t="s">
        <v>193</v>
      </c>
    </row>
    <row r="2" spans="1:13" x14ac:dyDescent="0.2">
      <c r="J2" s="426" t="s">
        <v>210</v>
      </c>
      <c r="K2" s="426"/>
      <c r="L2" s="426"/>
      <c r="M2" s="426"/>
    </row>
    <row r="3" spans="1:13" ht="30" customHeight="1" x14ac:dyDescent="0.2">
      <c r="A3" s="33" t="s">
        <v>20</v>
      </c>
      <c r="F3" s="33" t="s">
        <v>21</v>
      </c>
      <c r="J3" s="249"/>
      <c r="K3" s="250" t="s">
        <v>202</v>
      </c>
      <c r="L3" s="250" t="s">
        <v>203</v>
      </c>
      <c r="M3" s="251" t="s">
        <v>211</v>
      </c>
    </row>
    <row r="4" spans="1:13" ht="12" x14ac:dyDescent="0.25">
      <c r="A4" s="34"/>
      <c r="B4" s="35" t="s">
        <v>10</v>
      </c>
      <c r="C4" s="36" t="s">
        <v>11</v>
      </c>
      <c r="F4" s="34"/>
      <c r="G4" s="35" t="s">
        <v>10</v>
      </c>
      <c r="H4" s="36" t="s">
        <v>11</v>
      </c>
      <c r="J4" s="249" t="s">
        <v>204</v>
      </c>
      <c r="K4" s="252">
        <v>0.15670000000000001</v>
      </c>
      <c r="L4" s="252">
        <v>0.1532</v>
      </c>
      <c r="M4" s="254">
        <f>L4-K4</f>
        <v>-3.5000000000000031E-3</v>
      </c>
    </row>
    <row r="5" spans="1:13" x14ac:dyDescent="0.2">
      <c r="A5" s="37" t="s">
        <v>72</v>
      </c>
      <c r="B5" s="38">
        <v>100000</v>
      </c>
      <c r="C5" s="39">
        <v>100000</v>
      </c>
      <c r="F5" s="37" t="s">
        <v>73</v>
      </c>
      <c r="G5" s="38">
        <v>50000</v>
      </c>
      <c r="H5" s="39">
        <v>50000</v>
      </c>
      <c r="J5" s="249" t="s">
        <v>206</v>
      </c>
      <c r="K5" s="252">
        <v>0.12859999999999999</v>
      </c>
      <c r="L5" s="252">
        <v>0.1285</v>
      </c>
      <c r="M5" s="254">
        <f>L5-K5</f>
        <v>-9.9999999999988987E-5</v>
      </c>
    </row>
    <row r="6" spans="1:13" x14ac:dyDescent="0.2">
      <c r="A6" s="37" t="s">
        <v>182</v>
      </c>
      <c r="B6" s="40">
        <f>-C22</f>
        <v>-5471</v>
      </c>
      <c r="C6" s="41">
        <f>-C22</f>
        <v>-5471</v>
      </c>
      <c r="F6" s="37" t="str">
        <f>A10</f>
        <v>FICA (Salary X .0765)</v>
      </c>
      <c r="G6" s="38">
        <f>G5*C18</f>
        <v>3825</v>
      </c>
      <c r="H6" s="39">
        <f>H5*C18</f>
        <v>3825</v>
      </c>
      <c r="J6" s="249" t="s">
        <v>205</v>
      </c>
      <c r="K6" s="252">
        <v>0.20669999999999999</v>
      </c>
      <c r="L6" s="252">
        <v>0.20319999999999999</v>
      </c>
      <c r="M6" s="254">
        <f>L6-K6</f>
        <v>-3.5000000000000031E-3</v>
      </c>
    </row>
    <row r="7" spans="1:13" x14ac:dyDescent="0.2">
      <c r="A7" s="37" t="s">
        <v>12</v>
      </c>
      <c r="B7" s="38">
        <f>SUM(B5:B6)</f>
        <v>94529</v>
      </c>
      <c r="C7" s="39">
        <f>SUM(C5:C6)</f>
        <v>94529</v>
      </c>
      <c r="F7" s="37" t="str">
        <f>A11</f>
        <v>Retirement (Salary x .1532 for SPA or .1285 for EPA)</v>
      </c>
      <c r="G7" s="38">
        <f>G5*C19</f>
        <v>7660</v>
      </c>
      <c r="H7" s="39">
        <f>H5*C20</f>
        <v>6425</v>
      </c>
      <c r="J7" s="249" t="s">
        <v>0</v>
      </c>
      <c r="K7" s="253">
        <v>5479</v>
      </c>
      <c r="L7" s="253">
        <v>5471</v>
      </c>
      <c r="M7" s="253">
        <f>L7-K7</f>
        <v>-8</v>
      </c>
    </row>
    <row r="8" spans="1:13" x14ac:dyDescent="0.2">
      <c r="A8" s="37"/>
      <c r="B8" s="38"/>
      <c r="C8" s="39"/>
      <c r="F8" s="37" t="s">
        <v>0</v>
      </c>
      <c r="G8" s="40">
        <f>C22</f>
        <v>5471</v>
      </c>
      <c r="H8" s="41">
        <f>C22</f>
        <v>5471</v>
      </c>
    </row>
    <row r="9" spans="1:13" x14ac:dyDescent="0.2">
      <c r="A9" s="37" t="s">
        <v>76</v>
      </c>
      <c r="B9" s="38">
        <f>B7/1.2297</f>
        <v>76871.594697893801</v>
      </c>
      <c r="C9" s="39">
        <f>C7/1.205</f>
        <v>78447.302904564305</v>
      </c>
      <c r="F9" s="37"/>
      <c r="G9" s="38"/>
      <c r="H9" s="39"/>
    </row>
    <row r="10" spans="1:13" x14ac:dyDescent="0.2">
      <c r="A10" s="37" t="s">
        <v>77</v>
      </c>
      <c r="B10" s="38">
        <f>B9*C18</f>
        <v>5880.6769943888758</v>
      </c>
      <c r="C10" s="39">
        <f>C9*C18</f>
        <v>6001.2186721991693</v>
      </c>
      <c r="F10" s="37" t="s">
        <v>90</v>
      </c>
      <c r="G10" s="38">
        <f>SUM(G5:G8)</f>
        <v>66956</v>
      </c>
      <c r="H10" s="39">
        <f>SUM(H5:H8)</f>
        <v>65721</v>
      </c>
    </row>
    <row r="11" spans="1:13" x14ac:dyDescent="0.2">
      <c r="A11" s="37" t="s">
        <v>207</v>
      </c>
      <c r="B11" s="38">
        <f>B9*C19</f>
        <v>11776.728307717331</v>
      </c>
      <c r="C11" s="39">
        <f>C9*C20</f>
        <v>10080.478423236513</v>
      </c>
      <c r="F11" s="37"/>
      <c r="H11" s="42"/>
    </row>
    <row r="12" spans="1:13" x14ac:dyDescent="0.2">
      <c r="A12" s="37" t="s">
        <v>0</v>
      </c>
      <c r="B12" s="40">
        <f>C22</f>
        <v>5471</v>
      </c>
      <c r="C12" s="41">
        <f>C22</f>
        <v>5471</v>
      </c>
      <c r="F12" s="37"/>
      <c r="H12" s="42"/>
    </row>
    <row r="13" spans="1:13" x14ac:dyDescent="0.2">
      <c r="A13" s="43" t="s">
        <v>13</v>
      </c>
      <c r="B13" s="44">
        <f>SUM(B9:B12)</f>
        <v>100000.00000000001</v>
      </c>
      <c r="C13" s="45">
        <f>SUM(C9:C12)</f>
        <v>100000</v>
      </c>
      <c r="F13" s="43"/>
      <c r="G13" s="46"/>
      <c r="H13" s="47"/>
    </row>
    <row r="15" spans="1:13" ht="13.2" x14ac:dyDescent="0.25">
      <c r="A15" s="219" t="s">
        <v>194</v>
      </c>
      <c r="B15" s="166"/>
      <c r="C15" s="167"/>
      <c r="F15" s="106" t="s">
        <v>93</v>
      </c>
      <c r="G15"/>
      <c r="H15"/>
    </row>
    <row r="16" spans="1:13" ht="12" x14ac:dyDescent="0.25">
      <c r="A16" s="168"/>
      <c r="B16" s="169"/>
      <c r="C16" s="170"/>
      <c r="F16" s="34"/>
      <c r="G16" s="35" t="s">
        <v>10</v>
      </c>
      <c r="H16" s="36" t="s">
        <v>11</v>
      </c>
    </row>
    <row r="17" spans="1:8" ht="12" x14ac:dyDescent="0.25">
      <c r="A17" s="171" t="s">
        <v>1</v>
      </c>
      <c r="B17" s="172" t="s">
        <v>2</v>
      </c>
      <c r="C17" s="173" t="s">
        <v>3</v>
      </c>
      <c r="F17" s="37" t="s">
        <v>73</v>
      </c>
      <c r="G17" s="38">
        <v>50000</v>
      </c>
      <c r="H17" s="107">
        <v>50000</v>
      </c>
    </row>
    <row r="18" spans="1:8" x14ac:dyDescent="0.2">
      <c r="A18" s="174" t="s">
        <v>4</v>
      </c>
      <c r="B18" s="175">
        <v>919150</v>
      </c>
      <c r="C18" s="176">
        <v>7.6499999999999999E-2</v>
      </c>
      <c r="F18" s="37" t="str">
        <f>A10</f>
        <v>FICA (Salary X .0765)</v>
      </c>
      <c r="G18" s="38">
        <f>G17*C18</f>
        <v>3825</v>
      </c>
      <c r="H18" s="107">
        <f>H17*C18</f>
        <v>3825</v>
      </c>
    </row>
    <row r="19" spans="1:8" x14ac:dyDescent="0.2">
      <c r="A19" s="174" t="s">
        <v>57</v>
      </c>
      <c r="B19" s="175">
        <v>919050</v>
      </c>
      <c r="C19" s="176">
        <v>0.1532</v>
      </c>
      <c r="F19" s="37" t="s">
        <v>208</v>
      </c>
      <c r="G19" s="38">
        <f>G17*C21</f>
        <v>10160</v>
      </c>
      <c r="H19" s="107">
        <f>H17*C21</f>
        <v>10160</v>
      </c>
    </row>
    <row r="20" spans="1:8" x14ac:dyDescent="0.2">
      <c r="A20" s="174" t="s">
        <v>7</v>
      </c>
      <c r="B20" s="175">
        <v>918000</v>
      </c>
      <c r="C20" s="176">
        <v>0.1285</v>
      </c>
      <c r="F20" s="37" t="s">
        <v>0</v>
      </c>
      <c r="G20" s="40">
        <f>C22</f>
        <v>5471</v>
      </c>
      <c r="H20" s="100">
        <f>C22</f>
        <v>5471</v>
      </c>
    </row>
    <row r="21" spans="1:8" x14ac:dyDescent="0.2">
      <c r="A21" s="174" t="s">
        <v>86</v>
      </c>
      <c r="B21" s="175">
        <v>919100</v>
      </c>
      <c r="C21" s="176">
        <v>0.20319999999999999</v>
      </c>
      <c r="F21" s="37" t="s">
        <v>95</v>
      </c>
      <c r="G21" s="38">
        <f>SUM(G17:G20)</f>
        <v>69456</v>
      </c>
      <c r="H21" s="107">
        <f>SUM(H17:H20)</f>
        <v>69456</v>
      </c>
    </row>
    <row r="22" spans="1:8" x14ac:dyDescent="0.2">
      <c r="A22" s="174" t="s">
        <v>6</v>
      </c>
      <c r="B22" s="175">
        <v>917000</v>
      </c>
      <c r="C22" s="177">
        <v>5471</v>
      </c>
      <c r="D22" s="32" t="s">
        <v>22</v>
      </c>
      <c r="F22" s="37"/>
      <c r="G22" s="38"/>
      <c r="H22" s="42"/>
    </row>
    <row r="23" spans="1:8" x14ac:dyDescent="0.2">
      <c r="A23" s="174"/>
      <c r="B23" s="169"/>
      <c r="C23" s="170"/>
      <c r="F23" s="153"/>
      <c r="G23" s="154"/>
      <c r="H23" s="155"/>
    </row>
    <row r="24" spans="1:8" x14ac:dyDescent="0.2">
      <c r="A24" s="174" t="s">
        <v>183</v>
      </c>
      <c r="B24" s="178">
        <f>SUM(C18+C19)</f>
        <v>0.22970000000000002</v>
      </c>
      <c r="C24" s="170"/>
      <c r="F24" s="37" t="s">
        <v>72</v>
      </c>
      <c r="G24" s="38">
        <v>50000</v>
      </c>
      <c r="H24" s="39">
        <v>50000</v>
      </c>
    </row>
    <row r="25" spans="1:8" x14ac:dyDescent="0.2">
      <c r="A25" s="174" t="s">
        <v>184</v>
      </c>
      <c r="B25" s="178">
        <f>SUM(C18+C20)</f>
        <v>0.20500000000000002</v>
      </c>
      <c r="C25" s="170"/>
      <c r="F25" s="37" t="s">
        <v>180</v>
      </c>
      <c r="G25" s="40">
        <f>-C22</f>
        <v>-5471</v>
      </c>
      <c r="H25" s="41">
        <f>-C22</f>
        <v>-5471</v>
      </c>
    </row>
    <row r="26" spans="1:8" x14ac:dyDescent="0.2">
      <c r="A26" s="179" t="s">
        <v>185</v>
      </c>
      <c r="B26" s="180">
        <f>SUM(C18+C21)</f>
        <v>0.2797</v>
      </c>
      <c r="C26" s="181"/>
      <c r="F26" s="37" t="s">
        <v>12</v>
      </c>
      <c r="G26" s="38">
        <f>SUM(G24:G25)</f>
        <v>44529</v>
      </c>
      <c r="H26" s="39">
        <f>SUM(H24:H25)</f>
        <v>44529</v>
      </c>
    </row>
    <row r="27" spans="1:8" x14ac:dyDescent="0.2">
      <c r="F27" s="37"/>
      <c r="G27" s="38"/>
      <c r="H27" s="42"/>
    </row>
    <row r="28" spans="1:8" x14ac:dyDescent="0.2">
      <c r="A28" s="32" t="s">
        <v>209</v>
      </c>
      <c r="F28" s="37" t="s">
        <v>76</v>
      </c>
      <c r="G28" s="38">
        <f>G26/1.2832</f>
        <v>34701.527431421448</v>
      </c>
      <c r="H28" s="39">
        <f>H26/1.2832</f>
        <v>34701.527431421448</v>
      </c>
    </row>
    <row r="29" spans="1:8" x14ac:dyDescent="0.2">
      <c r="F29" s="37" t="str">
        <f>A10</f>
        <v>FICA (Salary X .0765)</v>
      </c>
      <c r="G29" s="38">
        <f>G28*C18</f>
        <v>2654.6668485037408</v>
      </c>
      <c r="H29" s="39">
        <f>H28*C18</f>
        <v>2654.6668485037408</v>
      </c>
    </row>
    <row r="30" spans="1:8" x14ac:dyDescent="0.2">
      <c r="F30" s="37" t="s">
        <v>208</v>
      </c>
      <c r="G30" s="38">
        <f>G28*C21</f>
        <v>7051.3503740648375</v>
      </c>
      <c r="H30" s="39">
        <f>H28*C21</f>
        <v>7051.3503740648375</v>
      </c>
    </row>
    <row r="31" spans="1:8" x14ac:dyDescent="0.2">
      <c r="F31" s="37" t="s">
        <v>0</v>
      </c>
      <c r="G31" s="40">
        <f>C22</f>
        <v>5471</v>
      </c>
      <c r="H31" s="218">
        <f>C22</f>
        <v>5471</v>
      </c>
    </row>
    <row r="32" spans="1:8" x14ac:dyDescent="0.2">
      <c r="F32" s="43" t="s">
        <v>13</v>
      </c>
      <c r="G32" s="44">
        <f>SUM(G28:G31)</f>
        <v>49878.544653990022</v>
      </c>
      <c r="H32" s="45">
        <f>SUM(H28:H31)</f>
        <v>49878.544653990022</v>
      </c>
    </row>
    <row r="33" spans="8:8" x14ac:dyDescent="0.2">
      <c r="H33" s="157"/>
    </row>
  </sheetData>
  <mergeCells count="1">
    <mergeCell ref="J2:M2"/>
  </mergeCells>
  <pageMargins left="0.75" right="0.75" top="1" bottom="1" header="0.5" footer="0.5"/>
  <pageSetup scale="85" orientation="landscape" cellComments="asDisplaye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27"/>
  <sheetViews>
    <sheetView workbookViewId="0"/>
  </sheetViews>
  <sheetFormatPr defaultColWidth="8.88671875" defaultRowHeight="10.199999999999999" x14ac:dyDescent="0.2"/>
  <cols>
    <col min="1" max="1" width="11" style="183" customWidth="1"/>
    <col min="2" max="2" width="40.44140625" style="182" customWidth="1"/>
    <col min="3" max="3" width="8.5546875" style="182" customWidth="1"/>
    <col min="4" max="4" width="6.109375" style="182" bestFit="1" customWidth="1"/>
    <col min="5" max="7" width="8.5546875" style="183" customWidth="1"/>
    <col min="8" max="8" width="8.5546875" style="182" customWidth="1"/>
    <col min="9" max="9" width="11.5546875" style="182" customWidth="1"/>
    <col min="10" max="16384" width="8.88671875" style="182"/>
  </cols>
  <sheetData>
    <row r="1" spans="1:9" ht="14.1" customHeight="1" x14ac:dyDescent="0.25">
      <c r="E1" s="425" t="s">
        <v>179</v>
      </c>
      <c r="F1" s="425"/>
      <c r="G1" s="425"/>
      <c r="H1" s="425"/>
      <c r="I1" s="425"/>
    </row>
    <row r="2" spans="1:9" s="185" customFormat="1" ht="68.400000000000006" customHeight="1" x14ac:dyDescent="0.2">
      <c r="A2" s="184" t="s">
        <v>136</v>
      </c>
      <c r="B2" s="185" t="s">
        <v>137</v>
      </c>
      <c r="C2" s="185" t="s">
        <v>159</v>
      </c>
      <c r="D2" s="184" t="s">
        <v>138</v>
      </c>
      <c r="E2" s="207" t="s">
        <v>146</v>
      </c>
      <c r="F2" s="207" t="s">
        <v>147</v>
      </c>
      <c r="G2" s="207" t="s">
        <v>148</v>
      </c>
      <c r="H2" s="217" t="s">
        <v>187</v>
      </c>
      <c r="I2" s="214" t="s">
        <v>201</v>
      </c>
    </row>
    <row r="3" spans="1:9" x14ac:dyDescent="0.2">
      <c r="A3" s="186">
        <v>10</v>
      </c>
      <c r="B3" s="187" t="s">
        <v>153</v>
      </c>
      <c r="C3" s="186" t="s">
        <v>155</v>
      </c>
      <c r="D3" s="187">
        <v>912100</v>
      </c>
      <c r="E3" s="188">
        <v>7.6499999999999999E-2</v>
      </c>
      <c r="F3" s="188">
        <v>0.1532</v>
      </c>
      <c r="G3" s="192"/>
      <c r="H3" s="208">
        <v>5471</v>
      </c>
      <c r="I3" s="215">
        <v>3.95E-2</v>
      </c>
    </row>
    <row r="4" spans="1:9" x14ac:dyDescent="0.2">
      <c r="A4" s="189">
        <v>10</v>
      </c>
      <c r="B4" s="190" t="s">
        <v>154</v>
      </c>
      <c r="C4" s="186" t="s">
        <v>156</v>
      </c>
      <c r="D4" s="187">
        <v>912100</v>
      </c>
      <c r="E4" s="191">
        <v>7.6499999999999999E-2</v>
      </c>
      <c r="F4" s="194"/>
      <c r="G4" s="193"/>
      <c r="H4" s="209"/>
      <c r="I4" s="216">
        <v>3.95E-2</v>
      </c>
    </row>
    <row r="5" spans="1:9" x14ac:dyDescent="0.2">
      <c r="A5" s="189">
        <v>15</v>
      </c>
      <c r="B5" s="190" t="s">
        <v>139</v>
      </c>
      <c r="C5" s="196"/>
      <c r="D5" s="190">
        <v>915900</v>
      </c>
      <c r="E5" s="191">
        <v>7.6499999999999999E-2</v>
      </c>
      <c r="F5" s="194"/>
      <c r="G5" s="193"/>
      <c r="H5" s="209"/>
      <c r="I5" s="216">
        <v>2.41E-2</v>
      </c>
    </row>
    <row r="6" spans="1:9" x14ac:dyDescent="0.2">
      <c r="A6" s="189">
        <v>18</v>
      </c>
      <c r="B6" s="190" t="s">
        <v>140</v>
      </c>
      <c r="C6" s="196"/>
      <c r="D6" s="190">
        <v>915900</v>
      </c>
      <c r="E6" s="191">
        <v>7.6499999999999999E-2</v>
      </c>
      <c r="F6" s="194"/>
      <c r="G6" s="193"/>
      <c r="H6" s="209"/>
      <c r="I6" s="216">
        <v>2.41E-2</v>
      </c>
    </row>
    <row r="7" spans="1:9" x14ac:dyDescent="0.2">
      <c r="A7" s="189">
        <v>19</v>
      </c>
      <c r="B7" s="190" t="s">
        <v>141</v>
      </c>
      <c r="C7" s="196"/>
      <c r="D7" s="190">
        <v>915900</v>
      </c>
      <c r="E7" s="191">
        <v>7.6499999999999999E-2</v>
      </c>
      <c r="F7" s="194"/>
      <c r="G7" s="193"/>
      <c r="H7" s="209"/>
      <c r="I7" s="216">
        <v>2.41E-2</v>
      </c>
    </row>
    <row r="8" spans="1:9" x14ac:dyDescent="0.2">
      <c r="A8" s="189">
        <v>20</v>
      </c>
      <c r="B8" s="190" t="s">
        <v>157</v>
      </c>
      <c r="C8" s="186" t="s">
        <v>155</v>
      </c>
      <c r="D8" s="190">
        <v>911100</v>
      </c>
      <c r="E8" s="191">
        <v>7.6499999999999999E-2</v>
      </c>
      <c r="F8" s="194"/>
      <c r="G8" s="191">
        <v>0.1285</v>
      </c>
      <c r="H8" s="208">
        <v>5471</v>
      </c>
      <c r="I8" s="216">
        <v>3.95E-2</v>
      </c>
    </row>
    <row r="9" spans="1:9" x14ac:dyDescent="0.2">
      <c r="A9" s="189">
        <v>20</v>
      </c>
      <c r="B9" s="190" t="s">
        <v>158</v>
      </c>
      <c r="C9" s="186" t="s">
        <v>156</v>
      </c>
      <c r="D9" s="190">
        <v>911100</v>
      </c>
      <c r="E9" s="191">
        <v>7.6499999999999999E-2</v>
      </c>
      <c r="F9" s="194"/>
      <c r="G9" s="194"/>
      <c r="H9" s="209"/>
      <c r="I9" s="216">
        <v>3.95E-2</v>
      </c>
    </row>
    <row r="10" spans="1:9" x14ac:dyDescent="0.2">
      <c r="A10" s="189">
        <v>30</v>
      </c>
      <c r="B10" s="190" t="s">
        <v>142</v>
      </c>
      <c r="C10" s="189">
        <v>1</v>
      </c>
      <c r="D10" s="190">
        <v>913100</v>
      </c>
      <c r="E10" s="191">
        <v>7.6499999999999999E-2</v>
      </c>
      <c r="F10" s="194"/>
      <c r="G10" s="191">
        <v>0.1285</v>
      </c>
      <c r="H10" s="208">
        <v>5471</v>
      </c>
      <c r="I10" s="216">
        <v>3.95E-2</v>
      </c>
    </row>
    <row r="11" spans="1:9" x14ac:dyDescent="0.2">
      <c r="A11" s="189">
        <v>32</v>
      </c>
      <c r="B11" s="190" t="s">
        <v>143</v>
      </c>
      <c r="C11" s="189">
        <v>1</v>
      </c>
      <c r="D11" s="190">
        <v>913100</v>
      </c>
      <c r="E11" s="191">
        <v>7.6499999999999999E-2</v>
      </c>
      <c r="F11" s="193"/>
      <c r="G11" s="191">
        <v>0.1285</v>
      </c>
      <c r="H11" s="208">
        <v>5471</v>
      </c>
      <c r="I11" s="216">
        <v>3.95E-2</v>
      </c>
    </row>
    <row r="12" spans="1:9" x14ac:dyDescent="0.2">
      <c r="A12" s="189">
        <v>36</v>
      </c>
      <c r="B12" s="190" t="s">
        <v>144</v>
      </c>
      <c r="C12" s="189">
        <v>1</v>
      </c>
      <c r="D12" s="190">
        <v>913100</v>
      </c>
      <c r="E12" s="191">
        <v>7.6499999999999999E-2</v>
      </c>
      <c r="F12" s="193"/>
      <c r="G12" s="191">
        <v>0.1285</v>
      </c>
      <c r="H12" s="208">
        <v>5471</v>
      </c>
      <c r="I12" s="216">
        <v>3.95E-2</v>
      </c>
    </row>
    <row r="13" spans="1:9" x14ac:dyDescent="0.2">
      <c r="A13" s="189">
        <v>40</v>
      </c>
      <c r="B13" s="190" t="s">
        <v>145</v>
      </c>
      <c r="C13" s="201"/>
      <c r="D13" s="190">
        <v>911200</v>
      </c>
      <c r="E13" s="191">
        <v>7.6499999999999999E-2</v>
      </c>
      <c r="F13" s="194"/>
      <c r="G13" s="199"/>
      <c r="H13" s="222" t="s">
        <v>188</v>
      </c>
      <c r="I13" s="216">
        <v>2.41E-2</v>
      </c>
    </row>
    <row r="14" spans="1:9" x14ac:dyDescent="0.2">
      <c r="A14" s="189">
        <v>50</v>
      </c>
      <c r="B14" s="190" t="s">
        <v>195</v>
      </c>
      <c r="C14" s="201"/>
      <c r="D14" s="190">
        <v>911200</v>
      </c>
      <c r="E14" s="191">
        <v>7.6499999999999999E-2</v>
      </c>
      <c r="F14" s="195"/>
      <c r="G14" s="199"/>
      <c r="H14" s="221"/>
      <c r="I14" s="216">
        <v>2.41E-2</v>
      </c>
    </row>
    <row r="15" spans="1:9" x14ac:dyDescent="0.2">
      <c r="A15" s="189">
        <v>45</v>
      </c>
      <c r="B15" s="190" t="s">
        <v>149</v>
      </c>
      <c r="C15" s="201"/>
      <c r="D15" s="190">
        <v>911300</v>
      </c>
      <c r="E15" s="191">
        <v>7.6499999999999999E-2</v>
      </c>
      <c r="F15" s="195"/>
      <c r="G15" s="199"/>
      <c r="H15" s="200"/>
      <c r="I15" s="216">
        <v>3.95E-2</v>
      </c>
    </row>
    <row r="16" spans="1:9" x14ac:dyDescent="0.2">
      <c r="A16" s="189">
        <v>45</v>
      </c>
      <c r="B16" s="190" t="s">
        <v>151</v>
      </c>
      <c r="C16" s="201"/>
      <c r="D16" s="190">
        <v>913300</v>
      </c>
      <c r="E16" s="191">
        <v>7.6499999999999999E-2</v>
      </c>
      <c r="F16" s="195"/>
      <c r="G16" s="199"/>
      <c r="H16" s="200"/>
      <c r="I16" s="216">
        <v>3.95E-2</v>
      </c>
    </row>
    <row r="17" spans="1:9" x14ac:dyDescent="0.2">
      <c r="A17" s="189">
        <v>50</v>
      </c>
      <c r="B17" s="190" t="s">
        <v>196</v>
      </c>
      <c r="C17" s="201"/>
      <c r="D17" s="190">
        <v>913200</v>
      </c>
      <c r="E17" s="191">
        <v>7.6499999999999999E-2</v>
      </c>
      <c r="F17" s="195"/>
      <c r="G17" s="199"/>
      <c r="H17" s="200"/>
      <c r="I17" s="216">
        <v>3.95E-2</v>
      </c>
    </row>
    <row r="18" spans="1:9" x14ac:dyDescent="0.2">
      <c r="A18" s="189">
        <v>60</v>
      </c>
      <c r="B18" s="190" t="s">
        <v>161</v>
      </c>
      <c r="C18" s="190" t="s">
        <v>160</v>
      </c>
      <c r="D18" s="190">
        <v>913250</v>
      </c>
      <c r="E18" s="191" t="s">
        <v>174</v>
      </c>
      <c r="F18" s="196"/>
      <c r="G18" s="193"/>
      <c r="H18" s="209">
        <f>863.5*2</f>
        <v>1727</v>
      </c>
      <c r="I18" s="216">
        <v>2.41E-2</v>
      </c>
    </row>
    <row r="19" spans="1:9" x14ac:dyDescent="0.2">
      <c r="A19" s="189">
        <v>60</v>
      </c>
      <c r="B19" s="190" t="s">
        <v>162</v>
      </c>
      <c r="C19" s="190" t="s">
        <v>160</v>
      </c>
      <c r="D19" s="190">
        <v>911250</v>
      </c>
      <c r="E19" s="191" t="s">
        <v>174</v>
      </c>
      <c r="F19" s="196"/>
      <c r="G19" s="193"/>
      <c r="H19" s="209">
        <f t="shared" ref="H19:H20" si="0">863.5*2</f>
        <v>1727</v>
      </c>
      <c r="I19" s="216">
        <v>2.41E-2</v>
      </c>
    </row>
    <row r="20" spans="1:9" x14ac:dyDescent="0.2">
      <c r="A20" s="189">
        <v>60</v>
      </c>
      <c r="B20" s="190" t="s">
        <v>163</v>
      </c>
      <c r="C20" s="190" t="s">
        <v>160</v>
      </c>
      <c r="D20" s="190">
        <v>911260</v>
      </c>
      <c r="E20" s="191" t="s">
        <v>174</v>
      </c>
      <c r="F20" s="196"/>
      <c r="G20" s="193"/>
      <c r="H20" s="209">
        <f t="shared" si="0"/>
        <v>1727</v>
      </c>
      <c r="I20" s="216">
        <v>2.41E-2</v>
      </c>
    </row>
    <row r="21" spans="1:9" x14ac:dyDescent="0.2">
      <c r="A21" s="189">
        <v>70</v>
      </c>
      <c r="B21" s="190" t="s">
        <v>164</v>
      </c>
      <c r="C21" s="190" t="s">
        <v>165</v>
      </c>
      <c r="D21" s="190">
        <v>915020</v>
      </c>
      <c r="E21" s="204" t="s">
        <v>174</v>
      </c>
      <c r="F21" s="193"/>
      <c r="G21" s="193"/>
      <c r="H21" s="211"/>
      <c r="I21" s="216">
        <v>2.41E-2</v>
      </c>
    </row>
    <row r="22" spans="1:9" x14ac:dyDescent="0.2">
      <c r="A22" s="189">
        <v>72</v>
      </c>
      <c r="B22" s="190" t="s">
        <v>150</v>
      </c>
      <c r="C22" s="190" t="s">
        <v>165</v>
      </c>
      <c r="D22" s="190">
        <v>915020</v>
      </c>
      <c r="E22" s="205" t="s">
        <v>174</v>
      </c>
      <c r="F22" s="197"/>
      <c r="G22" s="197"/>
      <c r="H22" s="212"/>
      <c r="I22" s="216">
        <v>2.41E-2</v>
      </c>
    </row>
    <row r="23" spans="1:9" x14ac:dyDescent="0.2">
      <c r="A23" s="189">
        <v>75</v>
      </c>
      <c r="B23" s="190" t="s">
        <v>152</v>
      </c>
      <c r="C23" s="190" t="s">
        <v>165</v>
      </c>
      <c r="D23" s="190">
        <v>915020</v>
      </c>
      <c r="E23" s="205" t="s">
        <v>174</v>
      </c>
      <c r="F23" s="197"/>
      <c r="G23" s="197"/>
      <c r="H23" s="212"/>
      <c r="I23" s="216">
        <v>2.41E-2</v>
      </c>
    </row>
    <row r="24" spans="1:9" x14ac:dyDescent="0.2">
      <c r="A24" s="189" t="s">
        <v>172</v>
      </c>
      <c r="B24" s="190" t="s">
        <v>173</v>
      </c>
      <c r="C24" s="190" t="s">
        <v>170</v>
      </c>
      <c r="D24" s="203" t="s">
        <v>171</v>
      </c>
      <c r="E24" s="206" t="s">
        <v>174</v>
      </c>
      <c r="F24" s="198"/>
      <c r="G24" s="198"/>
      <c r="H24" s="213"/>
      <c r="I24" s="216">
        <v>2.41E-2</v>
      </c>
    </row>
    <row r="25" spans="1:9" x14ac:dyDescent="0.2">
      <c r="H25" s="183"/>
      <c r="I25" s="183"/>
    </row>
    <row r="26" spans="1:9" x14ac:dyDescent="0.2">
      <c r="A26" s="202" t="s">
        <v>167</v>
      </c>
      <c r="B26" s="182" t="s">
        <v>166</v>
      </c>
      <c r="H26" s="183"/>
      <c r="I26" s="183"/>
    </row>
    <row r="27" spans="1:9" x14ac:dyDescent="0.2">
      <c r="A27" s="202" t="s">
        <v>168</v>
      </c>
      <c r="B27" s="182" t="s">
        <v>169</v>
      </c>
      <c r="H27" s="183"/>
      <c r="I27" s="183"/>
    </row>
  </sheetData>
  <mergeCells count="1">
    <mergeCell ref="E1:I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29"/>
  <sheetViews>
    <sheetView workbookViewId="0"/>
  </sheetViews>
  <sheetFormatPr defaultColWidth="9.109375" defaultRowHeight="11.4" x14ac:dyDescent="0.2"/>
  <cols>
    <col min="1" max="1" width="51.5546875" style="32" customWidth="1"/>
    <col min="2" max="2" width="9.5546875" style="32" bestFit="1" customWidth="1"/>
    <col min="3" max="3" width="9" style="32" bestFit="1" customWidth="1"/>
    <col min="4" max="4" width="3.44140625" style="32" customWidth="1"/>
    <col min="5" max="5" width="51.44140625" style="32" bestFit="1" customWidth="1"/>
    <col min="6" max="6" width="9.88671875" style="32" customWidth="1"/>
    <col min="7" max="7" width="9.5546875" style="32" customWidth="1"/>
    <col min="8" max="16384" width="9.109375" style="32"/>
  </cols>
  <sheetData>
    <row r="1" spans="1:7" ht="17.399999999999999" x14ac:dyDescent="0.3">
      <c r="A1" s="78" t="s">
        <v>181</v>
      </c>
    </row>
    <row r="3" spans="1:7" x14ac:dyDescent="0.2">
      <c r="A3" s="33"/>
    </row>
    <row r="4" spans="1:7" ht="13.2" x14ac:dyDescent="0.25">
      <c r="A4" s="121" t="s">
        <v>20</v>
      </c>
      <c r="B4" s="120"/>
      <c r="C4" s="120"/>
      <c r="E4" s="33" t="s">
        <v>21</v>
      </c>
    </row>
    <row r="5" spans="1:7" ht="12" x14ac:dyDescent="0.25">
      <c r="A5" s="122"/>
      <c r="B5" s="123" t="s">
        <v>10</v>
      </c>
      <c r="C5" s="124" t="s">
        <v>11</v>
      </c>
      <c r="E5" s="34"/>
      <c r="F5" s="35" t="s">
        <v>10</v>
      </c>
      <c r="G5" s="36" t="s">
        <v>11</v>
      </c>
    </row>
    <row r="6" spans="1:7" x14ac:dyDescent="0.2">
      <c r="A6" s="125" t="s">
        <v>72</v>
      </c>
      <c r="B6" s="126">
        <v>100000</v>
      </c>
      <c r="C6" s="127">
        <v>100000</v>
      </c>
      <c r="E6" s="37" t="s">
        <v>73</v>
      </c>
      <c r="F6" s="38">
        <v>100000</v>
      </c>
      <c r="G6" s="39">
        <v>100000</v>
      </c>
    </row>
    <row r="7" spans="1:7" x14ac:dyDescent="0.2">
      <c r="A7" s="125" t="s">
        <v>182</v>
      </c>
      <c r="B7" s="128">
        <f>-C23</f>
        <v>-5471</v>
      </c>
      <c r="C7" s="129">
        <f>-C23</f>
        <v>-5471</v>
      </c>
      <c r="E7" s="125" t="s">
        <v>102</v>
      </c>
      <c r="F7" s="38">
        <f>F6*C20</f>
        <v>7650</v>
      </c>
      <c r="G7" s="39">
        <f>G6*C20</f>
        <v>7650</v>
      </c>
    </row>
    <row r="8" spans="1:7" x14ac:dyDescent="0.2">
      <c r="A8" s="125" t="s">
        <v>12</v>
      </c>
      <c r="B8" s="126">
        <f>SUM(B6:B7)</f>
        <v>94529</v>
      </c>
      <c r="C8" s="127">
        <f>SUM(C6:C7)</f>
        <v>94529</v>
      </c>
      <c r="E8" s="37" t="s">
        <v>207</v>
      </c>
      <c r="F8" s="38">
        <f>F6*C21</f>
        <v>15320</v>
      </c>
      <c r="G8" s="39">
        <f>G6*C22</f>
        <v>12850</v>
      </c>
    </row>
    <row r="9" spans="1:7" x14ac:dyDescent="0.2">
      <c r="A9" s="125"/>
      <c r="B9" s="126"/>
      <c r="C9" s="127"/>
      <c r="E9" s="125" t="s">
        <v>186</v>
      </c>
      <c r="F9" s="38">
        <f>F6*C24</f>
        <v>3950</v>
      </c>
      <c r="G9" s="39">
        <f>G6*C24</f>
        <v>3950</v>
      </c>
    </row>
    <row r="10" spans="1:7" x14ac:dyDescent="0.2">
      <c r="A10" s="125" t="s">
        <v>101</v>
      </c>
      <c r="B10" s="126">
        <f>B8/1.2692</f>
        <v>74479.199495745343</v>
      </c>
      <c r="C10" s="127">
        <f>C8/1.2445</f>
        <v>75957.412615508234</v>
      </c>
      <c r="E10" s="37" t="s">
        <v>0</v>
      </c>
      <c r="F10" s="40">
        <f>C23</f>
        <v>5471</v>
      </c>
      <c r="G10" s="41">
        <f>C23</f>
        <v>5471</v>
      </c>
    </row>
    <row r="11" spans="1:7" x14ac:dyDescent="0.2">
      <c r="A11" s="125" t="s">
        <v>102</v>
      </c>
      <c r="B11" s="126">
        <f>B10*C20</f>
        <v>5697.6587614245182</v>
      </c>
      <c r="C11" s="127">
        <f>C10*C20</f>
        <v>5810.7420650863796</v>
      </c>
      <c r="E11" s="37"/>
      <c r="F11" s="38"/>
      <c r="G11" s="39"/>
    </row>
    <row r="12" spans="1:7" x14ac:dyDescent="0.2">
      <c r="A12" s="37" t="s">
        <v>207</v>
      </c>
      <c r="B12" s="38">
        <f>B10*C21</f>
        <v>11410.213362748187</v>
      </c>
      <c r="C12" s="39">
        <f>C10*C22</f>
        <v>9760.5275210928085</v>
      </c>
      <c r="E12" s="37" t="s">
        <v>90</v>
      </c>
      <c r="F12" s="38">
        <f>SUM(F6:F10)</f>
        <v>132391</v>
      </c>
      <c r="G12" s="39">
        <f>SUM(G6:G10)</f>
        <v>129921</v>
      </c>
    </row>
    <row r="13" spans="1:7" x14ac:dyDescent="0.2">
      <c r="A13" s="125" t="s">
        <v>186</v>
      </c>
      <c r="B13" s="126">
        <f>B10*C24</f>
        <v>2941.9283800819412</v>
      </c>
      <c r="C13" s="127">
        <f>C10*C24</f>
        <v>3000.3177983125752</v>
      </c>
      <c r="E13" s="37"/>
      <c r="G13" s="42"/>
    </row>
    <row r="14" spans="1:7" ht="12" x14ac:dyDescent="0.25">
      <c r="A14" s="125" t="s">
        <v>0</v>
      </c>
      <c r="B14" s="128">
        <f>C23</f>
        <v>5471</v>
      </c>
      <c r="C14" s="129">
        <f>C23</f>
        <v>5471</v>
      </c>
      <c r="E14" s="134" t="s">
        <v>105</v>
      </c>
      <c r="F14" s="135">
        <f>(SUM((F7:F10))/F6)</f>
        <v>0.32390999999999998</v>
      </c>
      <c r="G14" s="136">
        <f>(SUM((G7:G10))/G6)</f>
        <v>0.29920999999999998</v>
      </c>
    </row>
    <row r="15" spans="1:7" x14ac:dyDescent="0.2">
      <c r="A15" s="130" t="s">
        <v>13</v>
      </c>
      <c r="B15" s="131">
        <f>SUM(B10:B14)</f>
        <v>99999.999999999985</v>
      </c>
      <c r="C15" s="132">
        <f>SUM(C10:C14)</f>
        <v>100000</v>
      </c>
    </row>
    <row r="16" spans="1:7" x14ac:dyDescent="0.2">
      <c r="B16" s="40"/>
    </row>
    <row r="17" spans="1:4" ht="13.2" x14ac:dyDescent="0.25">
      <c r="A17" s="220" t="s">
        <v>194</v>
      </c>
      <c r="B17" s="139"/>
      <c r="C17" s="140"/>
    </row>
    <row r="18" spans="1:4" ht="12" x14ac:dyDescent="0.25">
      <c r="A18" s="141"/>
      <c r="B18" s="142"/>
      <c r="C18" s="143"/>
    </row>
    <row r="19" spans="1:4" ht="12" x14ac:dyDescent="0.25">
      <c r="A19" s="144" t="s">
        <v>1</v>
      </c>
      <c r="B19" s="145" t="s">
        <v>2</v>
      </c>
      <c r="C19" s="146" t="s">
        <v>3</v>
      </c>
    </row>
    <row r="20" spans="1:4" x14ac:dyDescent="0.2">
      <c r="A20" s="147" t="s">
        <v>4</v>
      </c>
      <c r="B20" s="148">
        <v>919150</v>
      </c>
      <c r="C20" s="161">
        <v>7.6499999999999999E-2</v>
      </c>
    </row>
    <row r="21" spans="1:4" x14ac:dyDescent="0.2">
      <c r="A21" s="147" t="s">
        <v>57</v>
      </c>
      <c r="B21" s="148">
        <v>919050</v>
      </c>
      <c r="C21" s="161">
        <v>0.1532</v>
      </c>
    </row>
    <row r="22" spans="1:4" x14ac:dyDescent="0.2">
      <c r="A22" s="147" t="s">
        <v>7</v>
      </c>
      <c r="B22" s="148">
        <v>918000</v>
      </c>
      <c r="C22" s="161">
        <v>0.1285</v>
      </c>
      <c r="D22" s="32" t="s">
        <v>22</v>
      </c>
    </row>
    <row r="23" spans="1:4" x14ac:dyDescent="0.2">
      <c r="A23" s="147" t="s">
        <v>6</v>
      </c>
      <c r="B23" s="148">
        <v>917000</v>
      </c>
      <c r="C23" s="149">
        <v>5471</v>
      </c>
    </row>
    <row r="24" spans="1:4" x14ac:dyDescent="0.2">
      <c r="A24" s="88" t="s">
        <v>121</v>
      </c>
      <c r="B24" s="137">
        <v>919700</v>
      </c>
      <c r="C24" s="162">
        <v>3.95E-2</v>
      </c>
    </row>
    <row r="25" spans="1:4" x14ac:dyDescent="0.2">
      <c r="A25" s="147"/>
      <c r="B25" s="148"/>
      <c r="C25" s="152"/>
    </row>
    <row r="26" spans="1:4" x14ac:dyDescent="0.2">
      <c r="A26" s="147" t="s">
        <v>97</v>
      </c>
      <c r="B26" s="163">
        <f>SUM(C20+C21+C24)</f>
        <v>0.26919999999999999</v>
      </c>
      <c r="C26" s="143"/>
    </row>
    <row r="27" spans="1:4" x14ac:dyDescent="0.2">
      <c r="A27" s="150" t="s">
        <v>98</v>
      </c>
      <c r="B27" s="164">
        <f>C20+C22+C24</f>
        <v>0.24450000000000002</v>
      </c>
      <c r="C27" s="151"/>
    </row>
    <row r="29" spans="1:4" x14ac:dyDescent="0.2">
      <c r="A29" s="32" t="str">
        <f>' FY 15-16 GF Calculator'!A28</f>
        <v>Updated: 9/18/15</v>
      </c>
    </row>
  </sheetData>
  <printOptions horizontalCentered="1"/>
  <pageMargins left="0.1" right="0.1" top="1" bottom="1" header="0.5" footer="0.5"/>
  <pageSetup scale="85" orientation="landscape" cellComments="asDisplayed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L41"/>
  <sheetViews>
    <sheetView workbookViewId="0"/>
  </sheetViews>
  <sheetFormatPr defaultColWidth="8.88671875" defaultRowHeight="10.199999999999999" x14ac:dyDescent="0.2"/>
  <cols>
    <col min="1" max="1" width="11" style="183" customWidth="1"/>
    <col min="2" max="2" width="42.88671875" style="182" customWidth="1"/>
    <col min="3" max="3" width="8.5546875" style="182" customWidth="1"/>
    <col min="4" max="4" width="6.109375" style="182" bestFit="1" customWidth="1"/>
    <col min="5" max="8" width="8.5546875" style="183" customWidth="1"/>
    <col min="9" max="10" width="8.5546875" style="182" customWidth="1"/>
    <col min="11" max="11" width="3.88671875" style="182" customWidth="1"/>
    <col min="12" max="12" width="29.5546875" style="182" customWidth="1"/>
    <col min="13" max="16384" width="8.88671875" style="182"/>
  </cols>
  <sheetData>
    <row r="1" spans="1:12" ht="13.8" x14ac:dyDescent="0.25">
      <c r="E1" s="425" t="s">
        <v>178</v>
      </c>
      <c r="F1" s="425"/>
      <c r="G1" s="425"/>
      <c r="H1" s="425"/>
      <c r="I1" s="425"/>
      <c r="J1" s="223"/>
      <c r="K1" s="223"/>
      <c r="L1" s="237" t="s">
        <v>200</v>
      </c>
    </row>
    <row r="2" spans="1:12" s="185" customFormat="1" ht="68.400000000000006" customHeight="1" x14ac:dyDescent="0.2">
      <c r="A2" s="184" t="s">
        <v>136</v>
      </c>
      <c r="B2" s="185" t="s">
        <v>137</v>
      </c>
      <c r="C2" s="185" t="s">
        <v>159</v>
      </c>
      <c r="D2" s="184" t="s">
        <v>138</v>
      </c>
      <c r="E2" s="207" t="s">
        <v>146</v>
      </c>
      <c r="F2" s="207" t="s">
        <v>147</v>
      </c>
      <c r="G2" s="266" t="s">
        <v>252</v>
      </c>
      <c r="H2" s="207" t="s">
        <v>148</v>
      </c>
      <c r="I2" s="265" t="s">
        <v>253</v>
      </c>
      <c r="J2" s="239" t="s">
        <v>198</v>
      </c>
      <c r="K2" s="184"/>
      <c r="L2" s="246" t="s">
        <v>198</v>
      </c>
    </row>
    <row r="3" spans="1:12" x14ac:dyDescent="0.2">
      <c r="A3" s="186">
        <v>10</v>
      </c>
      <c r="B3" s="187" t="s">
        <v>228</v>
      </c>
      <c r="C3" s="186" t="s">
        <v>155</v>
      </c>
      <c r="D3" s="187">
        <v>912100</v>
      </c>
      <c r="E3" s="188">
        <v>7.6499999999999999E-2</v>
      </c>
      <c r="F3" s="188">
        <v>0.17130000000000001</v>
      </c>
      <c r="G3" s="227"/>
      <c r="H3" s="227"/>
      <c r="I3" s="208">
        <v>5869</v>
      </c>
      <c r="J3" s="243" t="s">
        <v>197</v>
      </c>
      <c r="K3" s="224"/>
      <c r="L3" s="247" t="s">
        <v>197</v>
      </c>
    </row>
    <row r="4" spans="1:12" x14ac:dyDescent="0.2">
      <c r="A4" s="189">
        <v>10</v>
      </c>
      <c r="B4" s="262" t="s">
        <v>249</v>
      </c>
      <c r="C4" s="186" t="s">
        <v>155</v>
      </c>
      <c r="D4" s="187">
        <v>912090</v>
      </c>
      <c r="E4" s="191">
        <v>7.6499999999999999E-2</v>
      </c>
      <c r="F4" s="227"/>
      <c r="G4" s="263">
        <v>0.2213</v>
      </c>
      <c r="H4" s="226"/>
      <c r="I4" s="208">
        <v>5869</v>
      </c>
      <c r="J4" s="243" t="s">
        <v>197</v>
      </c>
      <c r="K4" s="224"/>
      <c r="L4" s="264" t="s">
        <v>217</v>
      </c>
    </row>
    <row r="5" spans="1:12" x14ac:dyDescent="0.2">
      <c r="A5" s="189">
        <v>10</v>
      </c>
      <c r="B5" s="190" t="s">
        <v>229</v>
      </c>
      <c r="C5" s="186" t="s">
        <v>156</v>
      </c>
      <c r="D5" s="187">
        <v>912100</v>
      </c>
      <c r="E5" s="191">
        <v>7.6499999999999999E-2</v>
      </c>
      <c r="F5" s="225"/>
      <c r="G5" s="225"/>
      <c r="H5" s="226"/>
      <c r="I5" s="233"/>
      <c r="J5" s="244" t="s">
        <v>197</v>
      </c>
      <c r="K5" s="224"/>
      <c r="L5" s="204" t="s">
        <v>197</v>
      </c>
    </row>
    <row r="6" spans="1:12" x14ac:dyDescent="0.2">
      <c r="A6" s="189">
        <v>15</v>
      </c>
      <c r="B6" s="190" t="s">
        <v>230</v>
      </c>
      <c r="C6" s="229"/>
      <c r="D6" s="190">
        <v>915900</v>
      </c>
      <c r="E6" s="191">
        <v>7.6499999999999999E-2</v>
      </c>
      <c r="F6" s="225"/>
      <c r="G6" s="225"/>
      <c r="H6" s="226"/>
      <c r="I6" s="233"/>
      <c r="J6" s="245" t="s">
        <v>199</v>
      </c>
      <c r="K6" s="224"/>
      <c r="L6" s="204" t="s">
        <v>197</v>
      </c>
    </row>
    <row r="7" spans="1:12" x14ac:dyDescent="0.2">
      <c r="A7" s="189">
        <v>18</v>
      </c>
      <c r="B7" s="190" t="s">
        <v>231</v>
      </c>
      <c r="C7" s="229"/>
      <c r="D7" s="190">
        <v>915900</v>
      </c>
      <c r="E7" s="191">
        <v>7.6499999999999999E-2</v>
      </c>
      <c r="F7" s="225"/>
      <c r="G7" s="225"/>
      <c r="H7" s="226"/>
      <c r="I7" s="233"/>
      <c r="J7" s="245" t="s">
        <v>199</v>
      </c>
      <c r="K7" s="224"/>
      <c r="L7" s="204" t="s">
        <v>197</v>
      </c>
    </row>
    <row r="8" spans="1:12" x14ac:dyDescent="0.2">
      <c r="A8" s="189">
        <v>19</v>
      </c>
      <c r="B8" s="190" t="s">
        <v>232</v>
      </c>
      <c r="C8" s="229"/>
      <c r="D8" s="190">
        <v>915900</v>
      </c>
      <c r="E8" s="191">
        <v>7.6499999999999999E-2</v>
      </c>
      <c r="F8" s="225"/>
      <c r="G8" s="225"/>
      <c r="H8" s="226"/>
      <c r="I8" s="233"/>
      <c r="J8" s="245" t="s">
        <v>199</v>
      </c>
      <c r="K8" s="224"/>
      <c r="L8" s="204" t="s">
        <v>197</v>
      </c>
    </row>
    <row r="9" spans="1:12" x14ac:dyDescent="0.2">
      <c r="A9" s="189">
        <v>20</v>
      </c>
      <c r="B9" s="190" t="s">
        <v>233</v>
      </c>
      <c r="C9" s="186" t="s">
        <v>155</v>
      </c>
      <c r="D9" s="190">
        <v>911100</v>
      </c>
      <c r="E9" s="191">
        <v>7.6499999999999999E-2</v>
      </c>
      <c r="F9" s="225"/>
      <c r="G9" s="225"/>
      <c r="H9" s="191">
        <v>0.1303</v>
      </c>
      <c r="I9" s="210">
        <v>5869</v>
      </c>
      <c r="J9" s="244" t="s">
        <v>197</v>
      </c>
      <c r="K9" s="224"/>
      <c r="L9" s="204" t="s">
        <v>197</v>
      </c>
    </row>
    <row r="10" spans="1:12" x14ac:dyDescent="0.2">
      <c r="A10" s="189">
        <v>20</v>
      </c>
      <c r="B10" s="262" t="s">
        <v>250</v>
      </c>
      <c r="C10" s="186" t="s">
        <v>155</v>
      </c>
      <c r="D10" s="190">
        <v>911090</v>
      </c>
      <c r="E10" s="191">
        <v>7.6499999999999999E-2</v>
      </c>
      <c r="F10" s="225"/>
      <c r="G10" s="191">
        <v>0.2213</v>
      </c>
      <c r="H10" s="225"/>
      <c r="I10" s="210">
        <v>5869</v>
      </c>
      <c r="J10" s="244" t="s">
        <v>197</v>
      </c>
      <c r="K10" s="224"/>
      <c r="L10" s="264" t="s">
        <v>217</v>
      </c>
    </row>
    <row r="11" spans="1:12" x14ac:dyDescent="0.2">
      <c r="A11" s="189">
        <v>20</v>
      </c>
      <c r="B11" s="190" t="s">
        <v>234</v>
      </c>
      <c r="C11" s="186" t="s">
        <v>156</v>
      </c>
      <c r="D11" s="190">
        <v>911100</v>
      </c>
      <c r="E11" s="191">
        <v>7.6499999999999999E-2</v>
      </c>
      <c r="F11" s="225"/>
      <c r="G11" s="225"/>
      <c r="H11" s="225"/>
      <c r="I11" s="233"/>
      <c r="J11" s="244" t="s">
        <v>197</v>
      </c>
      <c r="K11" s="224"/>
      <c r="L11" s="204" t="s">
        <v>197</v>
      </c>
    </row>
    <row r="12" spans="1:12" x14ac:dyDescent="0.2">
      <c r="A12" s="189">
        <v>30</v>
      </c>
      <c r="B12" s="190" t="s">
        <v>235</v>
      </c>
      <c r="C12" s="189">
        <v>1</v>
      </c>
      <c r="D12" s="190">
        <v>913100</v>
      </c>
      <c r="E12" s="191">
        <v>7.6499999999999999E-2</v>
      </c>
      <c r="F12" s="225"/>
      <c r="G12" s="225"/>
      <c r="H12" s="191">
        <v>0.1303</v>
      </c>
      <c r="I12" s="210">
        <v>5869</v>
      </c>
      <c r="J12" s="244" t="s">
        <v>197</v>
      </c>
      <c r="K12" s="224"/>
      <c r="L12" s="204" t="s">
        <v>197</v>
      </c>
    </row>
    <row r="13" spans="1:12" x14ac:dyDescent="0.2">
      <c r="A13" s="189">
        <v>32</v>
      </c>
      <c r="B13" s="190" t="s">
        <v>236</v>
      </c>
      <c r="C13" s="189">
        <v>1</v>
      </c>
      <c r="D13" s="190">
        <v>913100</v>
      </c>
      <c r="E13" s="191">
        <v>7.6499999999999999E-2</v>
      </c>
      <c r="F13" s="226"/>
      <c r="G13" s="226"/>
      <c r="H13" s="191">
        <v>0.1303</v>
      </c>
      <c r="I13" s="210">
        <v>5869</v>
      </c>
      <c r="J13" s="244" t="s">
        <v>197</v>
      </c>
      <c r="K13" s="224"/>
      <c r="L13" s="204" t="s">
        <v>197</v>
      </c>
    </row>
    <row r="14" spans="1:12" x14ac:dyDescent="0.2">
      <c r="A14" s="189">
        <v>36</v>
      </c>
      <c r="B14" s="190" t="s">
        <v>237</v>
      </c>
      <c r="C14" s="189">
        <v>1</v>
      </c>
      <c r="D14" s="190">
        <v>913100</v>
      </c>
      <c r="E14" s="191">
        <v>7.6499999999999999E-2</v>
      </c>
      <c r="F14" s="226"/>
      <c r="G14" s="226"/>
      <c r="H14" s="191">
        <v>0.1303</v>
      </c>
      <c r="I14" s="210">
        <v>5869</v>
      </c>
      <c r="J14" s="244" t="s">
        <v>197</v>
      </c>
      <c r="K14" s="224"/>
      <c r="L14" s="204" t="s">
        <v>197</v>
      </c>
    </row>
    <row r="15" spans="1:12" x14ac:dyDescent="0.2">
      <c r="A15" s="189">
        <v>40</v>
      </c>
      <c r="B15" s="190" t="s">
        <v>238</v>
      </c>
      <c r="C15" s="238"/>
      <c r="D15" s="190">
        <v>911200</v>
      </c>
      <c r="E15" s="191">
        <v>7.6499999999999999E-2</v>
      </c>
      <c r="F15" s="267"/>
      <c r="G15" s="225"/>
      <c r="H15" s="231"/>
      <c r="I15" s="233" t="s">
        <v>217</v>
      </c>
      <c r="J15" s="245" t="s">
        <v>199</v>
      </c>
      <c r="K15" s="224"/>
      <c r="L15" s="204" t="s">
        <v>197</v>
      </c>
    </row>
    <row r="16" spans="1:12" x14ac:dyDescent="0.2">
      <c r="A16" s="189">
        <v>50</v>
      </c>
      <c r="B16" s="190" t="s">
        <v>239</v>
      </c>
      <c r="C16" s="238"/>
      <c r="D16" s="190">
        <v>911200</v>
      </c>
      <c r="E16" s="191">
        <v>7.6499999999999999E-2</v>
      </c>
      <c r="F16" s="228"/>
      <c r="G16" s="225"/>
      <c r="H16" s="231"/>
      <c r="I16" s="232"/>
      <c r="J16" s="245" t="s">
        <v>199</v>
      </c>
      <c r="K16" s="224"/>
      <c r="L16" s="204" t="s">
        <v>197</v>
      </c>
    </row>
    <row r="17" spans="1:12" x14ac:dyDescent="0.2">
      <c r="A17" s="189">
        <v>45</v>
      </c>
      <c r="B17" s="190" t="s">
        <v>240</v>
      </c>
      <c r="C17" s="238"/>
      <c r="D17" s="190">
        <v>911300</v>
      </c>
      <c r="E17" s="191">
        <v>7.6499999999999999E-2</v>
      </c>
      <c r="F17" s="228"/>
      <c r="G17" s="225"/>
      <c r="H17" s="231"/>
      <c r="I17" s="232"/>
      <c r="J17" s="245" t="s">
        <v>199</v>
      </c>
      <c r="K17" s="224"/>
      <c r="L17" s="204" t="s">
        <v>197</v>
      </c>
    </row>
    <row r="18" spans="1:12" x14ac:dyDescent="0.2">
      <c r="A18" s="189">
        <v>45</v>
      </c>
      <c r="B18" s="190" t="s">
        <v>241</v>
      </c>
      <c r="C18" s="238"/>
      <c r="D18" s="190">
        <v>913300</v>
      </c>
      <c r="E18" s="191">
        <v>7.6499999999999999E-2</v>
      </c>
      <c r="F18" s="228"/>
      <c r="G18" s="225"/>
      <c r="H18" s="231"/>
      <c r="I18" s="232"/>
      <c r="J18" s="245" t="s">
        <v>199</v>
      </c>
      <c r="K18" s="224"/>
      <c r="L18" s="204" t="s">
        <v>197</v>
      </c>
    </row>
    <row r="19" spans="1:12" x14ac:dyDescent="0.2">
      <c r="A19" s="189">
        <v>50</v>
      </c>
      <c r="B19" s="190" t="s">
        <v>242</v>
      </c>
      <c r="C19" s="238"/>
      <c r="D19" s="190">
        <v>913200</v>
      </c>
      <c r="E19" s="191">
        <v>7.6499999999999999E-2</v>
      </c>
      <c r="F19" s="228"/>
      <c r="G19" s="225"/>
      <c r="H19" s="231"/>
      <c r="I19" s="232"/>
      <c r="J19" s="245" t="s">
        <v>199</v>
      </c>
      <c r="K19" s="224"/>
      <c r="L19" s="204" t="s">
        <v>197</v>
      </c>
    </row>
    <row r="20" spans="1:12" x14ac:dyDescent="0.2">
      <c r="A20" s="189">
        <v>60</v>
      </c>
      <c r="B20" s="190" t="s">
        <v>161</v>
      </c>
      <c r="C20" s="190" t="s">
        <v>160</v>
      </c>
      <c r="D20" s="190">
        <v>913250</v>
      </c>
      <c r="E20" s="191" t="s">
        <v>174</v>
      </c>
      <c r="F20" s="229"/>
      <c r="G20" s="226"/>
      <c r="H20" s="226"/>
      <c r="I20" s="233"/>
      <c r="J20" s="245" t="s">
        <v>199</v>
      </c>
      <c r="K20" s="236"/>
      <c r="L20" s="225" t="s">
        <v>199</v>
      </c>
    </row>
    <row r="21" spans="1:12" x14ac:dyDescent="0.2">
      <c r="A21" s="189">
        <v>60</v>
      </c>
      <c r="B21" s="190" t="s">
        <v>162</v>
      </c>
      <c r="C21" s="190" t="s">
        <v>160</v>
      </c>
      <c r="D21" s="190">
        <v>911250</v>
      </c>
      <c r="E21" s="191" t="s">
        <v>174</v>
      </c>
      <c r="F21" s="229"/>
      <c r="G21" s="226"/>
      <c r="H21" s="226"/>
      <c r="I21" s="233"/>
      <c r="J21" s="245" t="s">
        <v>199</v>
      </c>
      <c r="K21" s="236"/>
      <c r="L21" s="225" t="s">
        <v>199</v>
      </c>
    </row>
    <row r="22" spans="1:12" x14ac:dyDescent="0.2">
      <c r="A22" s="189">
        <v>60</v>
      </c>
      <c r="B22" s="190" t="s">
        <v>163</v>
      </c>
      <c r="C22" s="190" t="s">
        <v>160</v>
      </c>
      <c r="D22" s="190">
        <v>911260</v>
      </c>
      <c r="E22" s="191" t="s">
        <v>174</v>
      </c>
      <c r="F22" s="229"/>
      <c r="G22" s="226"/>
      <c r="H22" s="226"/>
      <c r="I22" s="233"/>
      <c r="J22" s="245" t="s">
        <v>199</v>
      </c>
      <c r="K22" s="236"/>
      <c r="L22" s="225" t="s">
        <v>199</v>
      </c>
    </row>
    <row r="23" spans="1:12" x14ac:dyDescent="0.2">
      <c r="A23" s="189">
        <v>70</v>
      </c>
      <c r="B23" s="190" t="s">
        <v>164</v>
      </c>
      <c r="C23" s="190" t="s">
        <v>165</v>
      </c>
      <c r="D23" s="190">
        <v>915020</v>
      </c>
      <c r="E23" s="204" t="s">
        <v>174</v>
      </c>
      <c r="F23" s="226"/>
      <c r="G23" s="226"/>
      <c r="H23" s="226"/>
      <c r="I23" s="234"/>
      <c r="J23" s="245" t="s">
        <v>199</v>
      </c>
      <c r="K23" s="183"/>
      <c r="L23" s="225" t="s">
        <v>199</v>
      </c>
    </row>
    <row r="24" spans="1:12" x14ac:dyDescent="0.2">
      <c r="A24" s="189">
        <v>72</v>
      </c>
      <c r="B24" s="190" t="s">
        <v>150</v>
      </c>
      <c r="C24" s="190" t="s">
        <v>165</v>
      </c>
      <c r="D24" s="190">
        <v>915020</v>
      </c>
      <c r="E24" s="204" t="s">
        <v>174</v>
      </c>
      <c r="F24" s="226"/>
      <c r="G24" s="226"/>
      <c r="H24" s="226"/>
      <c r="I24" s="234"/>
      <c r="J24" s="245" t="s">
        <v>199</v>
      </c>
      <c r="K24" s="183"/>
      <c r="L24" s="225" t="s">
        <v>199</v>
      </c>
    </row>
    <row r="25" spans="1:12" x14ac:dyDescent="0.2">
      <c r="A25" s="189">
        <v>72</v>
      </c>
      <c r="B25" s="262" t="s">
        <v>251</v>
      </c>
      <c r="C25" s="262" t="s">
        <v>217</v>
      </c>
      <c r="D25" s="190">
        <v>915050</v>
      </c>
      <c r="E25" s="204" t="s">
        <v>174</v>
      </c>
      <c r="F25" s="226"/>
      <c r="G25" s="226"/>
      <c r="H25" s="226"/>
      <c r="I25" s="234"/>
      <c r="J25" s="245" t="s">
        <v>199</v>
      </c>
      <c r="K25" s="183"/>
      <c r="L25" s="225" t="s">
        <v>199</v>
      </c>
    </row>
    <row r="26" spans="1:12" x14ac:dyDescent="0.2">
      <c r="A26" s="189">
        <v>75</v>
      </c>
      <c r="B26" s="262" t="s">
        <v>248</v>
      </c>
      <c r="C26" s="190" t="s">
        <v>165</v>
      </c>
      <c r="D26" s="190">
        <v>915030</v>
      </c>
      <c r="E26" s="204" t="s">
        <v>174</v>
      </c>
      <c r="F26" s="226"/>
      <c r="G26" s="226"/>
      <c r="H26" s="226"/>
      <c r="I26" s="234"/>
      <c r="J26" s="245" t="s">
        <v>199</v>
      </c>
      <c r="K26" s="183"/>
      <c r="L26" s="225" t="s">
        <v>199</v>
      </c>
    </row>
    <row r="27" spans="1:12" x14ac:dyDescent="0.2">
      <c r="A27" s="189" t="s">
        <v>172</v>
      </c>
      <c r="B27" s="190" t="s">
        <v>173</v>
      </c>
      <c r="C27" s="190" t="s">
        <v>170</v>
      </c>
      <c r="D27" s="203" t="s">
        <v>171</v>
      </c>
      <c r="E27" s="206" t="s">
        <v>174</v>
      </c>
      <c r="F27" s="230"/>
      <c r="G27" s="230"/>
      <c r="H27" s="230"/>
      <c r="I27" s="235"/>
      <c r="J27" s="245" t="s">
        <v>199</v>
      </c>
      <c r="K27" s="183"/>
      <c r="L27" s="225" t="s">
        <v>199</v>
      </c>
    </row>
    <row r="28" spans="1:12" x14ac:dyDescent="0.2">
      <c r="I28" s="183"/>
      <c r="J28" s="183"/>
      <c r="K28" s="183"/>
    </row>
    <row r="29" spans="1:12" x14ac:dyDescent="0.2">
      <c r="A29" s="202" t="s">
        <v>167</v>
      </c>
      <c r="B29" s="182" t="s">
        <v>243</v>
      </c>
      <c r="I29" s="183"/>
      <c r="J29" s="183"/>
      <c r="K29" s="183"/>
    </row>
    <row r="30" spans="1:12" x14ac:dyDescent="0.2">
      <c r="A30" s="202" t="s">
        <v>168</v>
      </c>
      <c r="B30" s="182" t="s">
        <v>169</v>
      </c>
      <c r="I30" s="183"/>
      <c r="J30" s="183"/>
      <c r="K30" s="183"/>
    </row>
    <row r="33" spans="2:2" ht="13.2" x14ac:dyDescent="0.2">
      <c r="B33" s="258"/>
    </row>
    <row r="34" spans="2:2" ht="13.2" x14ac:dyDescent="0.25">
      <c r="B34"/>
    </row>
    <row r="35" spans="2:2" ht="13.2" x14ac:dyDescent="0.2">
      <c r="B35" s="258"/>
    </row>
    <row r="36" spans="2:2" ht="13.2" x14ac:dyDescent="0.25">
      <c r="B36"/>
    </row>
    <row r="37" spans="2:2" ht="13.2" x14ac:dyDescent="0.2">
      <c r="B37" s="258"/>
    </row>
    <row r="38" spans="2:2" ht="13.2" x14ac:dyDescent="0.25">
      <c r="B38"/>
    </row>
    <row r="39" spans="2:2" ht="13.2" x14ac:dyDescent="0.2">
      <c r="B39" s="258"/>
    </row>
    <row r="40" spans="2:2" ht="13.2" x14ac:dyDescent="0.25">
      <c r="B40"/>
    </row>
    <row r="41" spans="2:2" ht="13.2" x14ac:dyDescent="0.2">
      <c r="B41" s="258"/>
    </row>
  </sheetData>
  <mergeCells count="1">
    <mergeCell ref="E1:I1"/>
  </mergeCells>
  <pageMargins left="0.7" right="0.7" top="0.75" bottom="0.75" header="0.3" footer="0.3"/>
  <pageSetup scale="85" orientation="landscape" r:id="rId1"/>
  <headerFooter>
    <oddFooter>&amp;L&amp;Z&amp;F&amp;RPage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2"/>
  <dimension ref="A1:N39"/>
  <sheetViews>
    <sheetView topLeftCell="C7" workbookViewId="0">
      <selection activeCell="H18" sqref="H18"/>
    </sheetView>
  </sheetViews>
  <sheetFormatPr defaultColWidth="8.88671875" defaultRowHeight="10.199999999999999" x14ac:dyDescent="0.2"/>
  <cols>
    <col min="1" max="1" width="10.109375" style="183" customWidth="1"/>
    <col min="2" max="2" width="7.88671875" style="183" customWidth="1"/>
    <col min="3" max="3" width="32" style="182" customWidth="1"/>
    <col min="4" max="4" width="8.5546875" style="182" customWidth="1"/>
    <col min="5" max="5" width="6.109375" style="182" bestFit="1" customWidth="1"/>
    <col min="6" max="8" width="8.5546875" style="183" customWidth="1"/>
    <col min="9" max="10" width="8.5546875" style="182" customWidth="1"/>
    <col min="11" max="11" width="2.5546875" style="182" customWidth="1"/>
    <col min="12" max="12" width="18.88671875" style="182" customWidth="1"/>
    <col min="13" max="13" width="7.88671875" style="182" bestFit="1" customWidth="1"/>
    <col min="14" max="14" width="7.88671875" style="182" customWidth="1"/>
    <col min="15" max="16384" width="8.88671875" style="182"/>
  </cols>
  <sheetData>
    <row r="1" spans="1:14" ht="43.65" customHeight="1" x14ac:dyDescent="0.25">
      <c r="A1" s="223" t="s">
        <v>307</v>
      </c>
      <c r="F1" s="425" t="s">
        <v>178</v>
      </c>
      <c r="G1" s="425"/>
      <c r="H1" s="425"/>
      <c r="I1" s="425"/>
      <c r="J1" s="223"/>
      <c r="K1" s="223"/>
      <c r="L1" s="312" t="s">
        <v>200</v>
      </c>
      <c r="M1" s="427" t="s">
        <v>302</v>
      </c>
      <c r="N1" s="427"/>
    </row>
    <row r="2" spans="1:14" s="185" customFormat="1" ht="68.400000000000006" customHeight="1" x14ac:dyDescent="0.2">
      <c r="A2" s="184" t="s">
        <v>136</v>
      </c>
      <c r="B2" s="308" t="s">
        <v>299</v>
      </c>
      <c r="C2" s="185" t="s">
        <v>137</v>
      </c>
      <c r="D2" s="185" t="s">
        <v>159</v>
      </c>
      <c r="E2" s="184" t="s">
        <v>138</v>
      </c>
      <c r="F2" s="207" t="s">
        <v>146</v>
      </c>
      <c r="G2" s="207" t="s">
        <v>147</v>
      </c>
      <c r="H2" s="207" t="s">
        <v>148</v>
      </c>
      <c r="I2" s="265" t="s">
        <v>304</v>
      </c>
      <c r="J2" s="306" t="s">
        <v>298</v>
      </c>
      <c r="K2" s="184"/>
      <c r="L2" s="307" t="s">
        <v>298</v>
      </c>
      <c r="M2" s="311" t="s">
        <v>300</v>
      </c>
      <c r="N2" s="311" t="s">
        <v>301</v>
      </c>
    </row>
    <row r="3" spans="1:14" x14ac:dyDescent="0.2">
      <c r="A3" s="186">
        <v>10</v>
      </c>
      <c r="B3" s="309" t="s">
        <v>300</v>
      </c>
      <c r="C3" s="187" t="s">
        <v>228</v>
      </c>
      <c r="D3" s="186" t="s">
        <v>155</v>
      </c>
      <c r="E3" s="187">
        <v>912100</v>
      </c>
      <c r="F3" s="188">
        <v>7.6499999999999999E-2</v>
      </c>
      <c r="G3" s="188">
        <v>0.22889999999999999</v>
      </c>
      <c r="H3" s="227"/>
      <c r="I3" s="208">
        <v>7019</v>
      </c>
      <c r="J3" s="243" t="s">
        <v>197</v>
      </c>
      <c r="K3" s="224"/>
      <c r="L3" s="247" t="s">
        <v>197</v>
      </c>
      <c r="M3" s="313" t="s">
        <v>303</v>
      </c>
      <c r="N3" s="314" t="s">
        <v>303</v>
      </c>
    </row>
    <row r="4" spans="1:14" x14ac:dyDescent="0.2">
      <c r="A4" s="189">
        <v>10</v>
      </c>
      <c r="B4" s="309" t="s">
        <v>300</v>
      </c>
      <c r="C4" s="190" t="s">
        <v>229</v>
      </c>
      <c r="D4" s="186" t="s">
        <v>156</v>
      </c>
      <c r="E4" s="187">
        <v>912100</v>
      </c>
      <c r="F4" s="191">
        <v>7.6499999999999999E-2</v>
      </c>
      <c r="G4" s="225"/>
      <c r="H4" s="226"/>
      <c r="I4" s="233"/>
      <c r="J4" s="244" t="s">
        <v>197</v>
      </c>
      <c r="K4" s="224"/>
      <c r="L4" s="204" t="s">
        <v>197</v>
      </c>
      <c r="M4" s="315" t="s">
        <v>303</v>
      </c>
      <c r="N4" s="316" t="s">
        <v>303</v>
      </c>
    </row>
    <row r="5" spans="1:14" x14ac:dyDescent="0.2">
      <c r="A5" s="186">
        <v>10</v>
      </c>
      <c r="B5" s="309" t="s">
        <v>300</v>
      </c>
      <c r="C5" s="320" t="s">
        <v>309</v>
      </c>
      <c r="D5" s="186" t="s">
        <v>155</v>
      </c>
      <c r="E5" s="187">
        <v>912090</v>
      </c>
      <c r="F5" s="191">
        <v>7.6499999999999999E-2</v>
      </c>
      <c r="G5" s="188">
        <v>0.27889999999999998</v>
      </c>
      <c r="H5" s="226"/>
      <c r="I5" s="233"/>
      <c r="J5" s="244"/>
      <c r="K5" s="224"/>
      <c r="L5" s="204"/>
      <c r="M5" s="315"/>
      <c r="N5" s="316"/>
    </row>
    <row r="6" spans="1:14" x14ac:dyDescent="0.2">
      <c r="A6" s="189">
        <v>15</v>
      </c>
      <c r="B6" s="310" t="s">
        <v>301</v>
      </c>
      <c r="C6" s="190" t="s">
        <v>230</v>
      </c>
      <c r="D6" s="229"/>
      <c r="E6" s="190">
        <v>915900</v>
      </c>
      <c r="F6" s="191">
        <v>7.6499999999999999E-2</v>
      </c>
      <c r="G6" s="225"/>
      <c r="H6" s="226"/>
      <c r="I6" s="233"/>
      <c r="J6" s="245" t="s">
        <v>199</v>
      </c>
      <c r="K6" s="224"/>
      <c r="L6" s="204" t="s">
        <v>197</v>
      </c>
      <c r="M6" s="315" t="s">
        <v>303</v>
      </c>
      <c r="N6" s="316" t="s">
        <v>303</v>
      </c>
    </row>
    <row r="7" spans="1:14" x14ac:dyDescent="0.2">
      <c r="A7" s="189">
        <v>18</v>
      </c>
      <c r="B7" s="310" t="s">
        <v>301</v>
      </c>
      <c r="C7" s="190" t="s">
        <v>231</v>
      </c>
      <c r="D7" s="229"/>
      <c r="E7" s="190">
        <v>915900</v>
      </c>
      <c r="F7" s="191">
        <v>7.6499999999999999E-2</v>
      </c>
      <c r="G7" s="225"/>
      <c r="H7" s="226"/>
      <c r="I7" s="233"/>
      <c r="J7" s="245" t="s">
        <v>199</v>
      </c>
      <c r="K7" s="224"/>
      <c r="L7" s="204" t="s">
        <v>197</v>
      </c>
      <c r="M7" s="315" t="s">
        <v>303</v>
      </c>
      <c r="N7" s="316" t="s">
        <v>303</v>
      </c>
    </row>
    <row r="8" spans="1:14" x14ac:dyDescent="0.2">
      <c r="A8" s="189">
        <v>19</v>
      </c>
      <c r="B8" s="310" t="s">
        <v>301</v>
      </c>
      <c r="C8" s="190" t="s">
        <v>232</v>
      </c>
      <c r="D8" s="229"/>
      <c r="E8" s="190">
        <v>915900</v>
      </c>
      <c r="F8" s="191">
        <v>7.6499999999999999E-2</v>
      </c>
      <c r="G8" s="225"/>
      <c r="H8" s="226"/>
      <c r="I8" s="233"/>
      <c r="J8" s="245" t="s">
        <v>199</v>
      </c>
      <c r="K8" s="224"/>
      <c r="L8" s="204" t="s">
        <v>197</v>
      </c>
      <c r="M8" s="315" t="s">
        <v>303</v>
      </c>
      <c r="N8" s="316" t="s">
        <v>303</v>
      </c>
    </row>
    <row r="9" spans="1:14" x14ac:dyDescent="0.2">
      <c r="A9" s="189">
        <v>20</v>
      </c>
      <c r="B9" s="309" t="s">
        <v>300</v>
      </c>
      <c r="C9" s="190" t="s">
        <v>233</v>
      </c>
      <c r="D9" s="186" t="s">
        <v>155</v>
      </c>
      <c r="E9" s="190">
        <v>911100</v>
      </c>
      <c r="F9" s="191">
        <v>7.6499999999999999E-2</v>
      </c>
      <c r="G9" s="225"/>
      <c r="H9" s="191">
        <v>0.13220000000000001</v>
      </c>
      <c r="I9" s="208">
        <v>7019</v>
      </c>
      <c r="J9" s="244" t="s">
        <v>197</v>
      </c>
      <c r="K9" s="224"/>
      <c r="L9" s="204" t="s">
        <v>197</v>
      </c>
      <c r="M9" s="315" t="s">
        <v>303</v>
      </c>
      <c r="N9" s="316" t="s">
        <v>303</v>
      </c>
    </row>
    <row r="10" spans="1:14" x14ac:dyDescent="0.2">
      <c r="A10" s="189">
        <v>20</v>
      </c>
      <c r="B10" s="309" t="s">
        <v>300</v>
      </c>
      <c r="C10" s="190" t="s">
        <v>234</v>
      </c>
      <c r="D10" s="186" t="s">
        <v>156</v>
      </c>
      <c r="E10" s="190">
        <v>911100</v>
      </c>
      <c r="F10" s="191">
        <v>7.6499999999999999E-2</v>
      </c>
      <c r="G10" s="225"/>
      <c r="H10" s="225"/>
      <c r="I10" s="233"/>
      <c r="J10" s="244" t="s">
        <v>197</v>
      </c>
      <c r="K10" s="224"/>
      <c r="L10" s="204" t="s">
        <v>197</v>
      </c>
      <c r="M10" s="315" t="s">
        <v>303</v>
      </c>
      <c r="N10" s="316" t="s">
        <v>303</v>
      </c>
    </row>
    <row r="11" spans="1:14" x14ac:dyDescent="0.2">
      <c r="A11" s="189">
        <v>30</v>
      </c>
      <c r="B11" s="309" t="s">
        <v>300</v>
      </c>
      <c r="C11" s="190" t="s">
        <v>235</v>
      </c>
      <c r="D11" s="189">
        <v>1</v>
      </c>
      <c r="E11" s="190">
        <v>913100</v>
      </c>
      <c r="F11" s="191">
        <v>7.6499999999999999E-2</v>
      </c>
      <c r="G11" s="225"/>
      <c r="H11" s="191">
        <v>0.13220000000000001</v>
      </c>
      <c r="I11" s="208">
        <v>7019</v>
      </c>
      <c r="J11" s="244" t="s">
        <v>197</v>
      </c>
      <c r="K11" s="224"/>
      <c r="L11" s="204" t="s">
        <v>197</v>
      </c>
      <c r="M11" s="315" t="s">
        <v>303</v>
      </c>
      <c r="N11" s="316" t="s">
        <v>303</v>
      </c>
    </row>
    <row r="12" spans="1:14" x14ac:dyDescent="0.2">
      <c r="A12" s="189">
        <v>32</v>
      </c>
      <c r="B12" s="309" t="s">
        <v>300</v>
      </c>
      <c r="C12" s="190" t="s">
        <v>236</v>
      </c>
      <c r="D12" s="189">
        <v>1</v>
      </c>
      <c r="E12" s="190">
        <v>913100</v>
      </c>
      <c r="F12" s="191">
        <v>7.6499999999999999E-2</v>
      </c>
      <c r="G12" s="226"/>
      <c r="H12" s="191">
        <v>0.13220000000000001</v>
      </c>
      <c r="I12" s="208">
        <v>7019</v>
      </c>
      <c r="J12" s="244" t="s">
        <v>197</v>
      </c>
      <c r="K12" s="224"/>
      <c r="L12" s="204" t="s">
        <v>197</v>
      </c>
      <c r="M12" s="315" t="s">
        <v>303</v>
      </c>
      <c r="N12" s="316" t="s">
        <v>303</v>
      </c>
    </row>
    <row r="13" spans="1:14" x14ac:dyDescent="0.2">
      <c r="A13" s="189">
        <v>36</v>
      </c>
      <c r="B13" s="309" t="s">
        <v>300</v>
      </c>
      <c r="C13" s="190" t="s">
        <v>237</v>
      </c>
      <c r="D13" s="189">
        <v>1</v>
      </c>
      <c r="E13" s="190">
        <v>913100</v>
      </c>
      <c r="F13" s="191">
        <v>7.6499999999999999E-2</v>
      </c>
      <c r="G13" s="226"/>
      <c r="H13" s="191">
        <v>0.13220000000000001</v>
      </c>
      <c r="I13" s="208">
        <v>7019</v>
      </c>
      <c r="J13" s="244" t="s">
        <v>197</v>
      </c>
      <c r="K13" s="224"/>
      <c r="L13" s="204" t="s">
        <v>197</v>
      </c>
      <c r="M13" s="315" t="s">
        <v>303</v>
      </c>
      <c r="N13" s="316" t="s">
        <v>303</v>
      </c>
    </row>
    <row r="14" spans="1:14" x14ac:dyDescent="0.2">
      <c r="A14" s="189">
        <v>40</v>
      </c>
      <c r="B14" s="310" t="s">
        <v>301</v>
      </c>
      <c r="C14" s="190" t="s">
        <v>238</v>
      </c>
      <c r="D14" s="238"/>
      <c r="E14" s="190">
        <v>911200</v>
      </c>
      <c r="F14" s="191">
        <v>7.6499999999999999E-2</v>
      </c>
      <c r="G14" s="225"/>
      <c r="H14" s="231"/>
      <c r="I14" s="233" t="s">
        <v>217</v>
      </c>
      <c r="J14" s="245" t="s">
        <v>199</v>
      </c>
      <c r="K14" s="224"/>
      <c r="L14" s="204" t="s">
        <v>197</v>
      </c>
      <c r="M14" s="317"/>
      <c r="N14" s="316" t="s">
        <v>303</v>
      </c>
    </row>
    <row r="15" spans="1:14" x14ac:dyDescent="0.2">
      <c r="A15" s="189">
        <v>50</v>
      </c>
      <c r="B15" s="310" t="s">
        <v>301</v>
      </c>
      <c r="C15" s="190" t="s">
        <v>239</v>
      </c>
      <c r="D15" s="238"/>
      <c r="E15" s="190">
        <v>911200</v>
      </c>
      <c r="F15" s="191">
        <v>7.6499999999999999E-2</v>
      </c>
      <c r="G15" s="228"/>
      <c r="H15" s="231"/>
      <c r="I15" s="232"/>
      <c r="J15" s="245" t="s">
        <v>199</v>
      </c>
      <c r="K15" s="224"/>
      <c r="L15" s="204" t="s">
        <v>197</v>
      </c>
      <c r="M15" s="317"/>
      <c r="N15" s="316" t="s">
        <v>303</v>
      </c>
    </row>
    <row r="16" spans="1:14" x14ac:dyDescent="0.2">
      <c r="A16" s="189">
        <v>45</v>
      </c>
      <c r="B16" s="310" t="s">
        <v>301</v>
      </c>
      <c r="C16" s="190" t="s">
        <v>240</v>
      </c>
      <c r="D16" s="238"/>
      <c r="E16" s="190">
        <v>911300</v>
      </c>
      <c r="F16" s="191">
        <v>7.6499999999999999E-2</v>
      </c>
      <c r="G16" s="228"/>
      <c r="H16" s="231"/>
      <c r="I16" s="232"/>
      <c r="J16" s="245" t="s">
        <v>199</v>
      </c>
      <c r="K16" s="224"/>
      <c r="L16" s="204" t="s">
        <v>197</v>
      </c>
      <c r="M16" s="317"/>
      <c r="N16" s="316" t="s">
        <v>303</v>
      </c>
    </row>
    <row r="17" spans="1:14" x14ac:dyDescent="0.2">
      <c r="A17" s="189">
        <v>45</v>
      </c>
      <c r="B17" s="310" t="s">
        <v>301</v>
      </c>
      <c r="C17" s="190" t="s">
        <v>241</v>
      </c>
      <c r="D17" s="238"/>
      <c r="E17" s="190">
        <v>913300</v>
      </c>
      <c r="F17" s="191">
        <v>7.6499999999999999E-2</v>
      </c>
      <c r="G17" s="228"/>
      <c r="H17" s="231"/>
      <c r="I17" s="232"/>
      <c r="J17" s="245" t="s">
        <v>199</v>
      </c>
      <c r="K17" s="224"/>
      <c r="L17" s="204" t="s">
        <v>197</v>
      </c>
      <c r="M17" s="317"/>
      <c r="N17" s="316" t="s">
        <v>303</v>
      </c>
    </row>
    <row r="18" spans="1:14" x14ac:dyDescent="0.2">
      <c r="A18" s="189">
        <v>50</v>
      </c>
      <c r="B18" s="310" t="s">
        <v>301</v>
      </c>
      <c r="C18" s="190" t="s">
        <v>242</v>
      </c>
      <c r="D18" s="238"/>
      <c r="E18" s="190">
        <v>913200</v>
      </c>
      <c r="F18" s="191">
        <v>7.6499999999999999E-2</v>
      </c>
      <c r="G18" s="228"/>
      <c r="H18" s="231"/>
      <c r="I18" s="232"/>
      <c r="J18" s="245" t="s">
        <v>199</v>
      </c>
      <c r="K18" s="224"/>
      <c r="L18" s="204" t="s">
        <v>197</v>
      </c>
      <c r="M18" s="317"/>
      <c r="N18" s="316" t="s">
        <v>303</v>
      </c>
    </row>
    <row r="19" spans="1:14" x14ac:dyDescent="0.2">
      <c r="A19" s="189">
        <v>60</v>
      </c>
      <c r="B19" s="310" t="s">
        <v>301</v>
      </c>
      <c r="C19" s="190" t="s">
        <v>161</v>
      </c>
      <c r="D19" s="190" t="s">
        <v>160</v>
      </c>
      <c r="E19" s="190">
        <v>913250</v>
      </c>
      <c r="F19" s="191" t="s">
        <v>174</v>
      </c>
      <c r="G19" s="229"/>
      <c r="H19" s="226"/>
      <c r="I19" s="233"/>
      <c r="J19" s="245" t="s">
        <v>199</v>
      </c>
      <c r="K19" s="236"/>
      <c r="L19" s="225" t="s">
        <v>199</v>
      </c>
      <c r="M19" s="317"/>
      <c r="N19" s="316" t="s">
        <v>303</v>
      </c>
    </row>
    <row r="20" spans="1:14" x14ac:dyDescent="0.2">
      <c r="A20" s="189">
        <v>60</v>
      </c>
      <c r="B20" s="310" t="s">
        <v>301</v>
      </c>
      <c r="C20" s="190" t="s">
        <v>162</v>
      </c>
      <c r="D20" s="190" t="s">
        <v>160</v>
      </c>
      <c r="E20" s="190">
        <v>911250</v>
      </c>
      <c r="F20" s="191" t="s">
        <v>174</v>
      </c>
      <c r="G20" s="229"/>
      <c r="H20" s="226"/>
      <c r="I20" s="233"/>
      <c r="J20" s="245" t="s">
        <v>199</v>
      </c>
      <c r="K20" s="236"/>
      <c r="L20" s="225" t="s">
        <v>199</v>
      </c>
      <c r="M20" s="317"/>
      <c r="N20" s="316" t="s">
        <v>303</v>
      </c>
    </row>
    <row r="21" spans="1:14" x14ac:dyDescent="0.2">
      <c r="A21" s="189">
        <v>60</v>
      </c>
      <c r="B21" s="310" t="s">
        <v>301</v>
      </c>
      <c r="C21" s="190" t="s">
        <v>163</v>
      </c>
      <c r="D21" s="190" t="s">
        <v>160</v>
      </c>
      <c r="E21" s="190">
        <v>911260</v>
      </c>
      <c r="F21" s="191" t="s">
        <v>174</v>
      </c>
      <c r="G21" s="229"/>
      <c r="H21" s="226"/>
      <c r="I21" s="233"/>
      <c r="J21" s="245" t="s">
        <v>199</v>
      </c>
      <c r="K21" s="236"/>
      <c r="L21" s="225" t="s">
        <v>199</v>
      </c>
      <c r="M21" s="317"/>
      <c r="N21" s="316" t="s">
        <v>303</v>
      </c>
    </row>
    <row r="22" spans="1:14" x14ac:dyDescent="0.2">
      <c r="A22" s="189">
        <v>70</v>
      </c>
      <c r="B22" s="310" t="s">
        <v>301</v>
      </c>
      <c r="C22" s="190" t="s">
        <v>164</v>
      </c>
      <c r="D22" s="190" t="s">
        <v>165</v>
      </c>
      <c r="E22" s="190">
        <v>915020</v>
      </c>
      <c r="F22" s="204" t="s">
        <v>174</v>
      </c>
      <c r="G22" s="226"/>
      <c r="H22" s="226"/>
      <c r="I22" s="234"/>
      <c r="J22" s="245" t="s">
        <v>199</v>
      </c>
      <c r="K22" s="183"/>
      <c r="L22" s="225" t="s">
        <v>199</v>
      </c>
      <c r="M22" s="315" t="s">
        <v>303</v>
      </c>
      <c r="N22" s="316" t="s">
        <v>303</v>
      </c>
    </row>
    <row r="23" spans="1:14" x14ac:dyDescent="0.2">
      <c r="A23" s="189">
        <v>72</v>
      </c>
      <c r="B23" s="310" t="s">
        <v>301</v>
      </c>
      <c r="C23" s="190" t="s">
        <v>150</v>
      </c>
      <c r="D23" s="190" t="s">
        <v>165</v>
      </c>
      <c r="E23" s="190">
        <v>915020</v>
      </c>
      <c r="F23" s="204" t="s">
        <v>174</v>
      </c>
      <c r="G23" s="226"/>
      <c r="H23" s="226"/>
      <c r="I23" s="234"/>
      <c r="J23" s="245" t="s">
        <v>199</v>
      </c>
      <c r="K23" s="183"/>
      <c r="L23" s="225" t="s">
        <v>199</v>
      </c>
      <c r="M23" s="315" t="s">
        <v>303</v>
      </c>
      <c r="N23" s="316" t="s">
        <v>303</v>
      </c>
    </row>
    <row r="24" spans="1:14" x14ac:dyDescent="0.2">
      <c r="A24" s="189">
        <v>75</v>
      </c>
      <c r="B24" s="310" t="s">
        <v>301</v>
      </c>
      <c r="C24" s="262" t="s">
        <v>248</v>
      </c>
      <c r="D24" s="190" t="s">
        <v>165</v>
      </c>
      <c r="E24" s="190">
        <v>915030</v>
      </c>
      <c r="F24" s="204" t="s">
        <v>174</v>
      </c>
      <c r="G24" s="226"/>
      <c r="H24" s="226"/>
      <c r="I24" s="234"/>
      <c r="J24" s="245" t="s">
        <v>199</v>
      </c>
      <c r="K24" s="183"/>
      <c r="L24" s="225" t="s">
        <v>199</v>
      </c>
      <c r="M24" s="315" t="s">
        <v>303</v>
      </c>
      <c r="N24" s="316" t="s">
        <v>303</v>
      </c>
    </row>
    <row r="25" spans="1:14" x14ac:dyDescent="0.2">
      <c r="A25" s="189" t="s">
        <v>172</v>
      </c>
      <c r="B25" s="310" t="s">
        <v>301</v>
      </c>
      <c r="C25" s="190" t="s">
        <v>173</v>
      </c>
      <c r="D25" s="190" t="s">
        <v>170</v>
      </c>
      <c r="E25" s="203" t="s">
        <v>171</v>
      </c>
      <c r="F25" s="206" t="s">
        <v>174</v>
      </c>
      <c r="G25" s="230"/>
      <c r="H25" s="230"/>
      <c r="I25" s="235"/>
      <c r="J25" s="245" t="s">
        <v>199</v>
      </c>
      <c r="K25" s="183"/>
      <c r="L25" s="225" t="s">
        <v>199</v>
      </c>
      <c r="M25" s="318" t="s">
        <v>303</v>
      </c>
      <c r="N25" s="319" t="s">
        <v>303</v>
      </c>
    </row>
    <row r="26" spans="1:14" x14ac:dyDescent="0.2">
      <c r="I26" s="183"/>
      <c r="J26" s="183"/>
      <c r="K26" s="183"/>
    </row>
    <row r="27" spans="1:14" x14ac:dyDescent="0.2">
      <c r="A27" s="202" t="s">
        <v>167</v>
      </c>
      <c r="B27" s="202"/>
      <c r="C27" s="182" t="s">
        <v>243</v>
      </c>
      <c r="I27" s="183"/>
      <c r="J27" s="183"/>
      <c r="K27" s="183"/>
    </row>
    <row r="28" spans="1:14" x14ac:dyDescent="0.2">
      <c r="A28" s="202" t="s">
        <v>168</v>
      </c>
      <c r="B28" s="202"/>
      <c r="C28" s="182" t="s">
        <v>169</v>
      </c>
      <c r="I28" s="183"/>
      <c r="J28" s="183"/>
      <c r="K28" s="183"/>
    </row>
    <row r="31" spans="1:14" ht="13.2" x14ac:dyDescent="0.2">
      <c r="C31" s="258"/>
    </row>
    <row r="32" spans="1:14" ht="13.2" x14ac:dyDescent="0.25">
      <c r="C32"/>
    </row>
    <row r="33" spans="3:3" ht="13.2" x14ac:dyDescent="0.2">
      <c r="C33" s="258"/>
    </row>
    <row r="34" spans="3:3" ht="13.2" x14ac:dyDescent="0.25">
      <c r="C34"/>
    </row>
    <row r="35" spans="3:3" ht="13.2" x14ac:dyDescent="0.2">
      <c r="C35" s="258"/>
    </row>
    <row r="36" spans="3:3" ht="13.2" x14ac:dyDescent="0.25">
      <c r="C36"/>
    </row>
    <row r="37" spans="3:3" ht="13.2" x14ac:dyDescent="0.2">
      <c r="C37" s="258"/>
    </row>
    <row r="38" spans="3:3" ht="13.2" x14ac:dyDescent="0.25">
      <c r="C38"/>
    </row>
    <row r="39" spans="3:3" ht="13.2" x14ac:dyDescent="0.2">
      <c r="C39" s="258"/>
    </row>
  </sheetData>
  <mergeCells count="2">
    <mergeCell ref="F1:I1"/>
    <mergeCell ref="M1:N1"/>
  </mergeCells>
  <pageMargins left="0.7" right="0.7" top="0.75" bottom="0.75" header="0.3" footer="0.3"/>
  <pageSetup scale="85" orientation="landscape" r:id="rId1"/>
  <headerFooter>
    <oddFooter>&amp;L&amp;Z&amp;F&amp;RPage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15</vt:i4>
      </vt:variant>
    </vt:vector>
  </HeadingPairs>
  <TitlesOfParts>
    <vt:vector size="49" baseType="lpstr">
      <vt:lpstr>FY 16-17 GF Fringes</vt:lpstr>
      <vt:lpstr> FY 16-17 GF Calculator </vt:lpstr>
      <vt:lpstr>FY 16-17 Non GF Calculator </vt:lpstr>
      <vt:lpstr>FY 15-16 GF Fringes</vt:lpstr>
      <vt:lpstr> FY 15-16 GF Calculator</vt:lpstr>
      <vt:lpstr>FY 15-16 Non GF fringes</vt:lpstr>
      <vt:lpstr>FY 15-16 Non GF Calculator</vt:lpstr>
      <vt:lpstr>FY 17-18 GF Fringes</vt:lpstr>
      <vt:lpstr>FY 21-22 Fringes</vt:lpstr>
      <vt:lpstr> FY 20-21 GF Calculator </vt:lpstr>
      <vt:lpstr>FY 20-21 Non GF Calculator  </vt:lpstr>
      <vt:lpstr>HB 226</vt:lpstr>
      <vt:lpstr> FY 21-22 GF Calculator </vt:lpstr>
      <vt:lpstr>FY 21-22 Non GF Calculator</vt:lpstr>
      <vt:lpstr>FY23-24 Fringes</vt:lpstr>
      <vt:lpstr>Split Funded Cal</vt:lpstr>
      <vt:lpstr> FY23-24 GF Calculator</vt:lpstr>
      <vt:lpstr>FY23-24 Non GF Calculator</vt:lpstr>
      <vt:lpstr>FY23-24 Temp Emp Calculator</vt:lpstr>
      <vt:lpstr>Pay periods</vt:lpstr>
      <vt:lpstr>Fringe history</vt:lpstr>
      <vt:lpstr>FY 22-23 Fringes</vt:lpstr>
      <vt:lpstr> FY 22-23 GF Calculator</vt:lpstr>
      <vt:lpstr>FY 22-23 Non GF Calculator</vt:lpstr>
      <vt:lpstr>FY 14-15 (Non General Funds)</vt:lpstr>
      <vt:lpstr> FY 14-15 (General Funds)</vt:lpstr>
      <vt:lpstr> FY 13-14 (General Funds)</vt:lpstr>
      <vt:lpstr>FY 13-14 (Non General Funds</vt:lpstr>
      <vt:lpstr> FY 12-13 (General Funds) </vt:lpstr>
      <vt:lpstr>FY 12-13 (Non General Funds)</vt:lpstr>
      <vt:lpstr>Salary calc 11-12</vt:lpstr>
      <vt:lpstr>Salary calc 10-11</vt:lpstr>
      <vt:lpstr>Salary calc 09-10</vt:lpstr>
      <vt:lpstr>Salary calc 08-09</vt:lpstr>
      <vt:lpstr>' FY 14-15 (General Funds)'!Print_Area</vt:lpstr>
      <vt:lpstr>' FY 15-16 GF Calculator'!Print_Area</vt:lpstr>
      <vt:lpstr>' FY 16-17 GF Calculator '!Print_Area</vt:lpstr>
      <vt:lpstr>' FY 20-21 GF Calculator '!Print_Area</vt:lpstr>
      <vt:lpstr>' FY 21-22 GF Calculator '!Print_Area</vt:lpstr>
      <vt:lpstr>' FY 22-23 GF Calculator'!Print_Area</vt:lpstr>
      <vt:lpstr>' FY23-24 GF Calculator'!Print_Area</vt:lpstr>
      <vt:lpstr>'Fringe history'!Print_Area</vt:lpstr>
      <vt:lpstr>'FY 15-16 GF Fringes'!Print_Area</vt:lpstr>
      <vt:lpstr>'FY 16-17 GF Fringes'!Print_Area</vt:lpstr>
      <vt:lpstr>'FY 17-18 GF Fringes'!Print_Area</vt:lpstr>
      <vt:lpstr>'FY 21-22 Fringes'!Print_Area</vt:lpstr>
      <vt:lpstr>'FY 22-23 Fringes'!Print_Area</vt:lpstr>
      <vt:lpstr>'FY23-24 Fringes'!Print_Area</vt:lpstr>
      <vt:lpstr>'FY23-24 Temp Emp Calculator'!Print_Area</vt:lpstr>
    </vt:vector>
  </TitlesOfParts>
  <Company>UNC Charlotte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hongvu</dc:creator>
  <cp:lastModifiedBy>Jessica Barton</cp:lastModifiedBy>
  <cp:lastPrinted>2019-04-23T12:48:24Z</cp:lastPrinted>
  <dcterms:created xsi:type="dcterms:W3CDTF">2007-11-05T19:40:11Z</dcterms:created>
  <dcterms:modified xsi:type="dcterms:W3CDTF">2024-01-05T15:38:22Z</dcterms:modified>
</cp:coreProperties>
</file>